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08" windowWidth="15180" windowHeight="8820" activeTab="0"/>
  </bookViews>
  <sheets>
    <sheet name="Столы" sheetId="1" r:id="rId1"/>
    <sheet name="Шкафы" sheetId="2" r:id="rId2"/>
    <sheet name="Тумбы" sheetId="3" r:id="rId3"/>
    <sheet name="Стеллажи" sheetId="4" r:id="rId4"/>
    <sheet name="Вытяжные шкафы" sheetId="5" r:id="rId5"/>
    <sheet name="Мойки " sheetId="6" r:id="rId6"/>
    <sheet name="Стулья" sheetId="7" r:id="rId7"/>
  </sheets>
  <definedNames>
    <definedName name="_xlnm.Print_Area" localSheetId="4">'Вытяжные шкафы'!$A$1:$L$60</definedName>
    <definedName name="_xlnm.Print_Area" localSheetId="5">'Мойки '!$A$1:$Q$28</definedName>
    <definedName name="_xlnm.Print_Area" localSheetId="3">'Стеллажи'!$A$1:$J$38</definedName>
    <definedName name="_xlnm.Print_Area" localSheetId="0">'Столы'!$A$2:$T$207</definedName>
    <definedName name="_xlnm.Print_Area" localSheetId="6">'Стулья'!$A$1:$I$19</definedName>
    <definedName name="_xlnm.Print_Area" localSheetId="2">'Тумбы'!$A$1:$L$42</definedName>
    <definedName name="_xlnm.Print_Area" localSheetId="1">'Шкафы'!$A$1:$L$99</definedName>
  </definedNames>
  <calcPr fullCalcOnLoad="1" refMode="R1C1"/>
</workbook>
</file>

<file path=xl/comments6.xml><?xml version="1.0" encoding="utf-8"?>
<comments xmlns="http://schemas.openxmlformats.org/spreadsheetml/2006/main">
  <authors>
    <author>Your User Name</author>
  </authors>
  <commentList>
    <comment ref="R9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1200 СМС
</t>
        </r>
      </text>
    </comment>
  </commentList>
</comments>
</file>

<file path=xl/sharedStrings.xml><?xml version="1.0" encoding="utf-8"?>
<sst xmlns="http://schemas.openxmlformats.org/spreadsheetml/2006/main" count="1488" uniqueCount="269">
  <si>
    <t>ЛК-1200 СЛ</t>
  </si>
  <si>
    <t>ЛК-1500 СЛ</t>
  </si>
  <si>
    <t>ЛК-1800 СЛ</t>
  </si>
  <si>
    <t>Модель</t>
  </si>
  <si>
    <t>Габариты, мм</t>
  </si>
  <si>
    <t>Объём, м. куб.</t>
  </si>
  <si>
    <t>Меламин</t>
  </si>
  <si>
    <t>Масса в упаковке, кг</t>
  </si>
  <si>
    <t>Вид упаковки</t>
  </si>
  <si>
    <t>Кол-во мест</t>
  </si>
  <si>
    <t>Наименование места</t>
  </si>
  <si>
    <t>Каркас</t>
  </si>
  <si>
    <t>Раб. поверхность</t>
  </si>
  <si>
    <t>Картон</t>
  </si>
  <si>
    <t>Надстройка</t>
  </si>
  <si>
    <t>ЛК-1200 СП</t>
  </si>
  <si>
    <t>ЛК-1500 СП</t>
  </si>
  <si>
    <t>ЛК-1800 СП</t>
  </si>
  <si>
    <t>ЛК-1200 СПТ</t>
  </si>
  <si>
    <t>ЛК-1500 СПТ</t>
  </si>
  <si>
    <t>ЛК-1800 СПТ</t>
  </si>
  <si>
    <t>Тех. приставка</t>
  </si>
  <si>
    <t>Кол-во мест общее</t>
  </si>
  <si>
    <t>Количество</t>
  </si>
  <si>
    <t>ШКАФЫ ВЫТЯЖНЫЕ ШВ</t>
  </si>
  <si>
    <t>Рабочая камера</t>
  </si>
  <si>
    <t>ШКАФЫ ВЫТЯЖНЫЕ ШВП</t>
  </si>
  <si>
    <t>ЛК-1200 ШВП</t>
  </si>
  <si>
    <t>ЛК-1500 ШВП</t>
  </si>
  <si>
    <t>ЛК-1800 ШВП</t>
  </si>
  <si>
    <t>СТОЛЫ ОСТРОВНЫЕ СО</t>
  </si>
  <si>
    <t>СТОЛЫ ЛАБОРАТОРНЫЕ СЛ</t>
  </si>
  <si>
    <t>ЛК-1200 СМ</t>
  </si>
  <si>
    <t>ЛК-1500 СМ</t>
  </si>
  <si>
    <t>ЛК-1800 СМ</t>
  </si>
  <si>
    <t>ЛК-1200 СТ</t>
  </si>
  <si>
    <t>ЛК-1500 СТ</t>
  </si>
  <si>
    <t>Тумба с мойкой</t>
  </si>
  <si>
    <t>ЛК-800 СМС-П</t>
  </si>
  <si>
    <t>ЛК-1200 СМС-П</t>
  </si>
  <si>
    <t>СТОЛЫ ВЕСОВЫЕ СВ</t>
  </si>
  <si>
    <t>ЛК-600 СВ</t>
  </si>
  <si>
    <t>ЛК-1200 СВ</t>
  </si>
  <si>
    <t>Каркас малый</t>
  </si>
  <si>
    <t>Гранитная плита</t>
  </si>
  <si>
    <t>Каркас большой</t>
  </si>
  <si>
    <t>ДСП ящик</t>
  </si>
  <si>
    <t>СТОЛЫ ПИСЬМЕННЫЕ С</t>
  </si>
  <si>
    <t>Стол (в разборе)</t>
  </si>
  <si>
    <t>ЛК-800 ШГ</t>
  </si>
  <si>
    <t>Шкаф</t>
  </si>
  <si>
    <t>ЛК-800 ШР</t>
  </si>
  <si>
    <t>ЛК-800 ШП</t>
  </si>
  <si>
    <t>ЛК-800 ШЛП</t>
  </si>
  <si>
    <t>Стеклянные дверки</t>
  </si>
  <si>
    <t>ТУМБЫ</t>
  </si>
  <si>
    <t>ЛК-400 ТПД</t>
  </si>
  <si>
    <t>ЛК-400 ТПЯ</t>
  </si>
  <si>
    <t>Тумба</t>
  </si>
  <si>
    <t>ЛК-400 ТД</t>
  </si>
  <si>
    <t>ЛК-400 ТЯ</t>
  </si>
  <si>
    <t>ЛК-1200 ТД</t>
  </si>
  <si>
    <t>ЛК-1500 ТД</t>
  </si>
  <si>
    <t>ЛК-1200 ТД-П</t>
  </si>
  <si>
    <t>ЛК-1500 ТД-П</t>
  </si>
  <si>
    <t>нет</t>
  </si>
  <si>
    <t>ЛК-900 ШВП</t>
  </si>
  <si>
    <t>ЛК-1200 СО</t>
  </si>
  <si>
    <t>ЛК-1500 СО</t>
  </si>
  <si>
    <t>ЛК-1800 СО</t>
  </si>
  <si>
    <t>Ширина</t>
  </si>
  <si>
    <t>Высота</t>
  </si>
  <si>
    <t>Длина</t>
  </si>
  <si>
    <t>ЛК-1200 СН</t>
  </si>
  <si>
    <t>ЛК-1500 СН</t>
  </si>
  <si>
    <t>Объём общий  м. куб.</t>
  </si>
  <si>
    <t>Масса, кг</t>
  </si>
  <si>
    <t>Масса общая, кг</t>
  </si>
  <si>
    <t>600х250х610</t>
  </si>
  <si>
    <t>ЛК-900 СЛ</t>
  </si>
  <si>
    <t>ЛК-1200 С</t>
  </si>
  <si>
    <t>ЛК-1500 С</t>
  </si>
  <si>
    <t>ЛК-900 СП</t>
  </si>
  <si>
    <t>ЛК-900 СПТ</t>
  </si>
  <si>
    <t>ЛК-900 СО</t>
  </si>
  <si>
    <t>ЛК-900 СМ</t>
  </si>
  <si>
    <t>Общий объём, м. куб.</t>
  </si>
  <si>
    <t>Объём 1 места, м. куб.</t>
  </si>
  <si>
    <t>Полипропилен</t>
  </si>
  <si>
    <t>СТОЛЫ С ОДНОЙ ПОЛКОЙ СМ</t>
  </si>
  <si>
    <t>СТОЛЫ С ТЕХ. ПРИСТАВКОЙ СПТ</t>
  </si>
  <si>
    <t>СТОЛЫ С ШКАФОМ-НАДСТРОЙКОЙ СН</t>
  </si>
  <si>
    <t>СТОЛЫ С ДВУМЯ ПОЛКАМИ СП</t>
  </si>
  <si>
    <t>СТОЛЫ ТИТРОВАЛЬНЫЕ СТ</t>
  </si>
  <si>
    <t>МОЙКИ СМС, СМС-П</t>
  </si>
  <si>
    <t>ЛК-900 СН</t>
  </si>
  <si>
    <t>ЛК-1800 СН</t>
  </si>
  <si>
    <t>ЛК-900 СТ</t>
  </si>
  <si>
    <t>ЛК-1800 СТ</t>
  </si>
  <si>
    <t>ШКАФЫ ЛАБОРАТОРНЫЕ из ЛДСП</t>
  </si>
  <si>
    <t>ШКАФЫ ЛАБОРАТОРНЫЕ из металла</t>
  </si>
  <si>
    <t>При заказе сборного груза дополнительной обрешётки на шкафы лабораторные из металла НЕ ТРЕБУЕТСЯ.</t>
  </si>
  <si>
    <t>шт.</t>
  </si>
  <si>
    <t>картон</t>
  </si>
  <si>
    <t>Наименование</t>
  </si>
  <si>
    <t>Описание</t>
  </si>
  <si>
    <t>Ед.</t>
  </si>
  <si>
    <t xml:space="preserve">Кол-во мест </t>
  </si>
  <si>
    <t>Размер изделия        (ВхШхГ), мм</t>
  </si>
  <si>
    <t>Вес    нетто, кг</t>
  </si>
  <si>
    <t>Объем,  м3</t>
  </si>
  <si>
    <t>Размер упаковки (Длина х Ширина х Высота), мм</t>
  </si>
  <si>
    <t>рег.опора+уголки+крепёж</t>
  </si>
  <si>
    <t>стрейч</t>
  </si>
  <si>
    <t>с крепежом, нагрузка 60 кг.</t>
  </si>
  <si>
    <t xml:space="preserve">Полка 1000х300 </t>
  </si>
  <si>
    <t>30х1000х300</t>
  </si>
  <si>
    <t>Полка 1000х400</t>
  </si>
  <si>
    <t>30х1000х400</t>
  </si>
  <si>
    <t xml:space="preserve">Полка 1000х500 </t>
  </si>
  <si>
    <t>30х1000х500</t>
  </si>
  <si>
    <t xml:space="preserve">Полка 1000х600 </t>
  </si>
  <si>
    <t>30х1000х600</t>
  </si>
  <si>
    <t>ШКАФЫ ЛАБОРАТОРНЫЕ из полипропилена</t>
  </si>
  <si>
    <t>Полки</t>
  </si>
  <si>
    <t>ЛК-800 ШК</t>
  </si>
  <si>
    <t>ЛК-600 ШРП</t>
  </si>
  <si>
    <t>ЛК-600 СЛ</t>
  </si>
  <si>
    <t>ЛК-500 СМС-(Г)</t>
  </si>
  <si>
    <t>ЛК-800 СМС-(Г)</t>
  </si>
  <si>
    <t>ЛК-1200 СМС-(Г)</t>
  </si>
  <si>
    <t>СТОЛЫ ЛАБОРАТОРНЫЕ ПЕРЕДВИЖНЫЕ СЛП</t>
  </si>
  <si>
    <t>ЛК-600 СЛП</t>
  </si>
  <si>
    <t>ЛК-900 СЛП</t>
  </si>
  <si>
    <t>ЛК-1200 СЛП</t>
  </si>
  <si>
    <t>СТОЛЫ ЛАБОРАТОРНЫЕ ПЕРЕДВИЖНЫЕ С ПОЛКОЙ СЛП</t>
  </si>
  <si>
    <t>ЛК-800 ШДО</t>
  </si>
  <si>
    <t>ЛК-400 ШГ</t>
  </si>
  <si>
    <t>ЛК-400 ШР</t>
  </si>
  <si>
    <t>ЛК-400 ШП</t>
  </si>
  <si>
    <t>ЛК-400 ШДО</t>
  </si>
  <si>
    <t>ЛК-400 ШЛП</t>
  </si>
  <si>
    <t>ЛК-900 ШН</t>
  </si>
  <si>
    <t>ЛК-1200 ШН</t>
  </si>
  <si>
    <t>ЛК-1500 ШН</t>
  </si>
  <si>
    <t>ЛК-1800 ШН</t>
  </si>
  <si>
    <t>ШКАФ НАВЕСНОЙ ШН</t>
  </si>
  <si>
    <t>ШКАФЫ ЛАБОРАТОРНЫЕ из металла в разборе</t>
  </si>
  <si>
    <t>ЛК-600 ЗВН</t>
  </si>
  <si>
    <t>ЛК-900 ЗВН</t>
  </si>
  <si>
    <t>ЛК-600 ЗВП</t>
  </si>
  <si>
    <t>ЗОНТЫ ВЫТЯЖНЫЕ</t>
  </si>
  <si>
    <t>ЛК-900 ЗВП</t>
  </si>
  <si>
    <t>шкаф</t>
  </si>
  <si>
    <t>ЛК-400 ТПД-В</t>
  </si>
  <si>
    <t>ЛК-400 ТПЯ-В</t>
  </si>
  <si>
    <t>ЛК-400 Я</t>
  </si>
  <si>
    <t>Ящик</t>
  </si>
  <si>
    <t>ТУМБЫ НА ОПОРАХ</t>
  </si>
  <si>
    <t>ЛК-400 ТОЯ</t>
  </si>
  <si>
    <t>ЛК-400 ТОЯ-В</t>
  </si>
  <si>
    <t>ЛК-400 ТОД</t>
  </si>
  <si>
    <t>ЛК-400 ТОД-В</t>
  </si>
  <si>
    <t>Масса в общая, кг</t>
  </si>
  <si>
    <t>ЛК-900 ТД</t>
  </si>
  <si>
    <t>ЛК-1800 ТД</t>
  </si>
  <si>
    <t>ЛК-1800 ТД-П</t>
  </si>
  <si>
    <t>ЛК-900 ТД-П</t>
  </si>
  <si>
    <t>ЛК-1500 СМС-(Г)</t>
  </si>
  <si>
    <t>ЛК-1500 СМС-П</t>
  </si>
  <si>
    <t>ЛК-900 ШВ(ШВД)</t>
  </si>
  <si>
    <t>ЛК-1200 ШВ(ШВД)</t>
  </si>
  <si>
    <t>ЛК-1500 ШВ(ШВД)</t>
  </si>
  <si>
    <t>ЛК-1800 ШВ(ШВД)</t>
  </si>
  <si>
    <t>ЛК-900 ШВМ</t>
  </si>
  <si>
    <t>ЛК-1200 ШВМ</t>
  </si>
  <si>
    <t>ЛК-1500 ШВМ</t>
  </si>
  <si>
    <t>ЛК-1800 ШВМ</t>
  </si>
  <si>
    <t>ШКАФЫ ВЫТЯЖНЫЕ ШВМ</t>
  </si>
  <si>
    <t>TRESPA, слопласт</t>
  </si>
  <si>
    <t>Меламин, LabGrade</t>
  </si>
  <si>
    <t>Керамика, нерж. сталь</t>
  </si>
  <si>
    <t>Керамика, нерж. Сталь</t>
  </si>
  <si>
    <t>СТОЛЫ С ОДНОЙ ПОЛКОЙ СМ + светильник</t>
  </si>
  <si>
    <t>ШКАФЫ ВЫТЯЖНЫЕ ШВ-МЕТ</t>
  </si>
  <si>
    <t>Стеклянная дверка</t>
  </si>
  <si>
    <t>МОЙКИ СМС сталь</t>
  </si>
  <si>
    <t>ЛК-900 ШВ-МЕТ</t>
  </si>
  <si>
    <t>ЛК-1200 ШВ-МЕТ</t>
  </si>
  <si>
    <t>ЛК-1500 ШВ-МЕТ</t>
  </si>
  <si>
    <t>ЛК-1800 ШВ-МЕТ</t>
  </si>
  <si>
    <t>ТУМБЫ сталь</t>
  </si>
  <si>
    <t>ЛК-900 ТД (сталь)</t>
  </si>
  <si>
    <t>ЛК-1200 ТД (сталь)</t>
  </si>
  <si>
    <t>ЛК-1500 ТД (сталь)</t>
  </si>
  <si>
    <t>20.47</t>
  </si>
  <si>
    <t>Стойка 2000</t>
  </si>
  <si>
    <t xml:space="preserve">Ограничитель 300 </t>
  </si>
  <si>
    <t>с крепежом</t>
  </si>
  <si>
    <t>30х7х295</t>
  </si>
  <si>
    <t>30х20х300</t>
  </si>
  <si>
    <t xml:space="preserve">Ограничитель 400 </t>
  </si>
  <si>
    <t xml:space="preserve">Ограничитель 500 </t>
  </si>
  <si>
    <t xml:space="preserve">Ограничитель 600 </t>
  </si>
  <si>
    <t>30х7х395</t>
  </si>
  <si>
    <t>30х7х495</t>
  </si>
  <si>
    <t>30х7х595</t>
  </si>
  <si>
    <t>30х20х400</t>
  </si>
  <si>
    <t>30х20х500</t>
  </si>
  <si>
    <t>30х20х600</t>
  </si>
  <si>
    <t>2000х35х35</t>
  </si>
  <si>
    <t xml:space="preserve">Ограничитель 1000 </t>
  </si>
  <si>
    <t>30х7х995</t>
  </si>
  <si>
    <t>30х20х900</t>
  </si>
  <si>
    <t>СТ-12-3</t>
  </si>
  <si>
    <t>4 стойки, 4 полки 1000х300</t>
  </si>
  <si>
    <t>СТ-12-4</t>
  </si>
  <si>
    <t>СТ-12-5</t>
  </si>
  <si>
    <t>СТ-12-6</t>
  </si>
  <si>
    <t>4 стойки, 4 полки 1000х400</t>
  </si>
  <si>
    <t>4 стойки, 4 полки 1000х500</t>
  </si>
  <si>
    <t>4 стойки, 4 полки 1000х600</t>
  </si>
  <si>
    <t>1 шт, 1 место</t>
  </si>
  <si>
    <t>в коробку</t>
  </si>
  <si>
    <t>1 шт, 2 места</t>
  </si>
  <si>
    <t>место №1     600х250х610</t>
  </si>
  <si>
    <t>Стеллаж СТ  -1шт - 2места (ограничители приматываем стретчем к стойкам, комплектацию вкладываем в полки)</t>
  </si>
  <si>
    <t>место №1 - картон место №2 - стрейч</t>
  </si>
  <si>
    <t>место №2 - 4 стойки 2030х50х50</t>
  </si>
  <si>
    <t>место №1 - 4 полки 1030х330х160</t>
  </si>
  <si>
    <t>место №1 - 4 полки 1030х430х160</t>
  </si>
  <si>
    <t>место №1 - 4 полки 1030х530х160</t>
  </si>
  <si>
    <t>место №1 - 4 полки 1030х630х160</t>
  </si>
  <si>
    <t>СТ-13-3</t>
  </si>
  <si>
    <t>СТ-13-4</t>
  </si>
  <si>
    <t>СТ-13-5</t>
  </si>
  <si>
    <t>СТ-13-6</t>
  </si>
  <si>
    <t>ЭТО СТЕЛЛАЖИ С ОГРАНИЧИТЕЛЯМИ</t>
  </si>
  <si>
    <t>4 стойки, 4 полки 1000х300,      8 ограничителей 300,                 4 ограничителя 1000</t>
  </si>
  <si>
    <t>4 стойки, 4 полки 1000х400,      8 ограничителей 400,                 4 ограничителя 1000</t>
  </si>
  <si>
    <t>4 стойки, 4 полки 1000х500,      8 ограничителей 500,                 4 ограничителя 1000</t>
  </si>
  <si>
    <t>4 стойки, 4 полки 1000х600,      8 ограничителей 600,                 4 ограничителя 1000</t>
  </si>
  <si>
    <t>ЭТО ПРОСТЫЕ СТЕЛЛАЖИ</t>
  </si>
  <si>
    <t>ЭТО ДЕТАЛИ ВХОДЯЩИЕ В СТЕЛЛАЖИ (СПРАВОЧНАЯ ИНФОРМАЦИЯ)</t>
  </si>
  <si>
    <t>Раб. Пов-ть (ЛДСП, LG, Керам)</t>
  </si>
  <si>
    <t>Раб. Пов-ть (TR, SL, НЕРЖ)</t>
  </si>
  <si>
    <t>Картон, Пенопласт</t>
  </si>
  <si>
    <t>-</t>
  </si>
  <si>
    <t>Полка (TR, SL, НЕРЖ)</t>
  </si>
  <si>
    <t>Полка (ЛДСП, LG, Керам)</t>
  </si>
  <si>
    <t>в п/эт</t>
  </si>
  <si>
    <t>место №2     600х250х500</t>
  </si>
  <si>
    <t>2 шт., 2 места</t>
  </si>
  <si>
    <t>место №2     600х300х500</t>
  </si>
  <si>
    <t>Хромированное кольцо + втулка</t>
  </si>
  <si>
    <t>Замена пятилучия на хромированное добавляет к весу табурета/стула 1 кг., объем не прибавляется.</t>
  </si>
  <si>
    <t>Хромированное кольцо добавляет к весу табурета/стула 1,6 кг., объем не прибавляется.</t>
  </si>
  <si>
    <t>СТУЛЬЯ</t>
  </si>
  <si>
    <t>в коробку стула /табурета</t>
  </si>
  <si>
    <t>СПРАВОЧНАЯ ИНФОРМАЦИЯ</t>
  </si>
  <si>
    <t>по наименованию модели</t>
  </si>
  <si>
    <t>Вес, кг</t>
  </si>
  <si>
    <t>ЛК-400 ТД (сталь),         ЛК-400 ТПД (сталь)</t>
  </si>
  <si>
    <t>ЛК-400 ТЯ (сталь),         ЛК-400 ТПЯ (сталь)</t>
  </si>
  <si>
    <t>ШКАФЫ ЛАБОРАТОРНЫЕ из ЛДСП в разборе</t>
  </si>
  <si>
    <t>Табурет ДЕКО (полиуретан)</t>
  </si>
  <si>
    <t>Табурет Т2          (кожзам черный)</t>
  </si>
  <si>
    <t xml:space="preserve">Стул ТЕКО (пластик)  </t>
  </si>
  <si>
    <t xml:space="preserve">Стул ЭКОЛОГ (полиуретан)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</si>
</sst>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50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2" fontId="0" fillId="0" borderId="27" xfId="0" applyNumberFormat="1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0" fontId="0" fillId="0" borderId="35" xfId="0" applyBorder="1" applyAlignment="1">
      <alignment/>
    </xf>
    <xf numFmtId="1" fontId="0" fillId="0" borderId="36" xfId="0" applyNumberFormat="1" applyFill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1" fontId="0" fillId="0" borderId="38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" fontId="0" fillId="0" borderId="41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" fontId="0" fillId="0" borderId="43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0" fillId="0" borderId="45" xfId="0" applyNumberFormat="1" applyFill="1" applyBorder="1" applyAlignment="1">
      <alignment horizontal="center" vertical="center"/>
    </xf>
    <xf numFmtId="1" fontId="0" fillId="0" borderId="46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2" fontId="0" fillId="0" borderId="48" xfId="0" applyNumberFormat="1" applyFill="1" applyBorder="1" applyAlignment="1">
      <alignment horizontal="center" vertical="center"/>
    </xf>
    <xf numFmtId="1" fontId="0" fillId="0" borderId="45" xfId="0" applyNumberFormat="1" applyFill="1" applyBorder="1" applyAlignment="1">
      <alignment horizontal="center"/>
    </xf>
    <xf numFmtId="1" fontId="0" fillId="0" borderId="49" xfId="0" applyNumberFormat="1" applyFont="1" applyFill="1" applyBorder="1" applyAlignment="1">
      <alignment horizontal="center" vertical="center"/>
    </xf>
    <xf numFmtId="1" fontId="0" fillId="0" borderId="50" xfId="0" applyNumberFormat="1" applyFill="1" applyBorder="1" applyAlignment="1">
      <alignment horizontal="center" vertical="center"/>
    </xf>
    <xf numFmtId="1" fontId="0" fillId="0" borderId="51" xfId="0" applyNumberForma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" fontId="0" fillId="0" borderId="52" xfId="0" applyNumberFormat="1" applyFill="1" applyBorder="1" applyAlignment="1">
      <alignment horizontal="center" vertical="center"/>
    </xf>
    <xf numFmtId="1" fontId="0" fillId="0" borderId="53" xfId="0" applyNumberForma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1" fontId="0" fillId="0" borderId="49" xfId="0" applyNumberFormat="1" applyFill="1" applyBorder="1" applyAlignment="1">
      <alignment horizontal="center" vertical="center"/>
    </xf>
    <xf numFmtId="1" fontId="0" fillId="0" borderId="5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2" fontId="0" fillId="0" borderId="52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/>
    </xf>
    <xf numFmtId="1" fontId="0" fillId="0" borderId="52" xfId="0" applyNumberFormat="1" applyFill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2" fontId="0" fillId="0" borderId="53" xfId="0" applyNumberFormat="1" applyFill="1" applyBorder="1" applyAlignment="1">
      <alignment horizontal="center" vertical="center"/>
    </xf>
    <xf numFmtId="1" fontId="0" fillId="0" borderId="53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2" fontId="0" fillId="0" borderId="43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53" xfId="0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2" fontId="0" fillId="0" borderId="63" xfId="0" applyNumberFormat="1" applyFill="1" applyBorder="1" applyAlignment="1">
      <alignment horizontal="center" vertical="center"/>
    </xf>
    <xf numFmtId="2" fontId="0" fillId="0" borderId="64" xfId="0" applyNumberFormat="1" applyFill="1" applyBorder="1" applyAlignment="1">
      <alignment horizontal="center" vertical="center"/>
    </xf>
    <xf numFmtId="2" fontId="0" fillId="0" borderId="65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2" fontId="0" fillId="0" borderId="66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2" fontId="0" fillId="0" borderId="45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2" fontId="0" fillId="0" borderId="49" xfId="0" applyNumberForma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67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2" fontId="0" fillId="0" borderId="54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" fontId="0" fillId="0" borderId="69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6" fillId="0" borderId="45" xfId="0" applyFont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2" fillId="0" borderId="70" xfId="0" applyFont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2" fontId="0" fillId="0" borderId="41" xfId="0" applyNumberForma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" fontId="0" fillId="0" borderId="49" xfId="0" applyNumberFormat="1" applyFill="1" applyBorder="1" applyAlignment="1">
      <alignment horizontal="center"/>
    </xf>
    <xf numFmtId="1" fontId="0" fillId="0" borderId="75" xfId="0" applyNumberForma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0" fillId="0" borderId="75" xfId="0" applyFill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15" fillId="0" borderId="0" xfId="0" applyFont="1" applyAlignment="1">
      <alignment wrapText="1"/>
    </xf>
    <xf numFmtId="0" fontId="6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58" xfId="0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9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3" fontId="4" fillId="0" borderId="34" xfId="0" applyNumberFormat="1" applyFont="1" applyFill="1" applyBorder="1" applyAlignment="1">
      <alignment horizontal="center" vertical="center"/>
    </xf>
    <xf numFmtId="172" fontId="4" fillId="0" borderId="51" xfId="0" applyNumberFormat="1" applyFont="1" applyFill="1" applyBorder="1" applyAlignment="1">
      <alignment horizontal="center" vertical="center"/>
    </xf>
    <xf numFmtId="172" fontId="4" fillId="0" borderId="26" xfId="0" applyNumberFormat="1" applyFont="1" applyFill="1" applyBorder="1" applyAlignment="1">
      <alignment horizontal="center" vertical="center"/>
    </xf>
    <xf numFmtId="172" fontId="4" fillId="0" borderId="31" xfId="0" applyNumberFormat="1" applyFont="1" applyFill="1" applyBorder="1" applyAlignment="1">
      <alignment horizontal="center" vertical="center"/>
    </xf>
    <xf numFmtId="172" fontId="4" fillId="0" borderId="53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2" fontId="4" fillId="0" borderId="74" xfId="0" applyNumberFormat="1" applyFont="1" applyFill="1" applyBorder="1" applyAlignment="1">
      <alignment horizontal="center"/>
    </xf>
    <xf numFmtId="0" fontId="3" fillId="0" borderId="7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7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64" xfId="0" applyNumberFormat="1" applyFont="1" applyFill="1" applyBorder="1" applyAlignment="1">
      <alignment horizontal="center" vertical="center"/>
    </xf>
    <xf numFmtId="1" fontId="0" fillId="0" borderId="49" xfId="0" applyNumberFormat="1" applyFill="1" applyBorder="1" applyAlignment="1">
      <alignment horizontal="center" vertical="center"/>
    </xf>
    <xf numFmtId="1" fontId="0" fillId="0" borderId="66" xfId="0" applyNumberFormat="1" applyFill="1" applyBorder="1" applyAlignment="1">
      <alignment horizontal="center" vertical="center"/>
    </xf>
    <xf numFmtId="1" fontId="0" fillId="0" borderId="36" xfId="0" applyNumberFormat="1" applyFill="1" applyBorder="1" applyAlignment="1">
      <alignment horizontal="center" vertical="center"/>
    </xf>
    <xf numFmtId="1" fontId="0" fillId="0" borderId="63" xfId="0" applyNumberFormat="1" applyFill="1" applyBorder="1" applyAlignment="1">
      <alignment horizontal="center" vertical="center"/>
    </xf>
    <xf numFmtId="1" fontId="0" fillId="0" borderId="45" xfId="0" applyNumberFormat="1" applyFill="1" applyBorder="1" applyAlignment="1">
      <alignment horizontal="center" vertical="center"/>
    </xf>
    <xf numFmtId="1" fontId="0" fillId="0" borderId="64" xfId="0" applyNumberFormat="1" applyFill="1" applyBorder="1" applyAlignment="1">
      <alignment horizontal="center"/>
    </xf>
    <xf numFmtId="1" fontId="0" fillId="0" borderId="37" xfId="0" applyNumberFormat="1" applyFill="1" applyBorder="1" applyAlignment="1">
      <alignment horizontal="center" vertical="center"/>
    </xf>
    <xf numFmtId="1" fontId="0" fillId="0" borderId="65" xfId="0" applyNumberFormat="1" applyFill="1" applyBorder="1" applyAlignment="1">
      <alignment horizontal="center" vertical="center"/>
    </xf>
    <xf numFmtId="1" fontId="0" fillId="0" borderId="64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0" fillId="0" borderId="64" xfId="0" applyNumberFormat="1" applyFill="1" applyBorder="1" applyAlignment="1">
      <alignment horizontal="center" vertical="center"/>
    </xf>
    <xf numFmtId="1" fontId="0" fillId="0" borderId="38" xfId="0" applyNumberFormat="1" applyFill="1" applyBorder="1" applyAlignment="1">
      <alignment horizontal="center" vertical="center"/>
    </xf>
    <xf numFmtId="1" fontId="0" fillId="0" borderId="67" xfId="0" applyNumberFormat="1" applyFill="1" applyBorder="1" applyAlignment="1">
      <alignment horizontal="center" vertical="center"/>
    </xf>
    <xf numFmtId="1" fontId="0" fillId="0" borderId="69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65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81" xfId="0" applyBorder="1" applyAlignment="1">
      <alignment horizontal="center"/>
    </xf>
    <xf numFmtId="1" fontId="0" fillId="0" borderId="55" xfId="0" applyNumberFormat="1" applyFont="1" applyFill="1" applyBorder="1" applyAlignment="1">
      <alignment horizontal="center" vertical="center"/>
    </xf>
    <xf numFmtId="1" fontId="0" fillId="0" borderId="56" xfId="0" applyNumberFormat="1" applyFont="1" applyFill="1" applyBorder="1" applyAlignment="1">
      <alignment horizontal="center" vertical="center"/>
    </xf>
    <xf numFmtId="1" fontId="0" fillId="0" borderId="55" xfId="0" applyNumberFormat="1" applyFill="1" applyBorder="1" applyAlignment="1">
      <alignment horizontal="center" vertical="center"/>
    </xf>
    <xf numFmtId="1" fontId="0" fillId="0" borderId="56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79" xfId="0" applyBorder="1" applyAlignment="1">
      <alignment horizont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52" xfId="0" applyNumberFormat="1" applyFill="1" applyBorder="1" applyAlignment="1">
      <alignment horizontal="center" vertical="center"/>
    </xf>
    <xf numFmtId="1" fontId="0" fillId="0" borderId="53" xfId="0" applyNumberFormat="1" applyFill="1" applyBorder="1" applyAlignment="1">
      <alignment horizontal="center" vertical="center"/>
    </xf>
    <xf numFmtId="1" fontId="0" fillId="0" borderId="56" xfId="0" applyNumberFormat="1" applyFont="1" applyFill="1" applyBorder="1" applyAlignment="1">
      <alignment horizontal="center"/>
    </xf>
    <xf numFmtId="1" fontId="0" fillId="0" borderId="33" xfId="0" applyNumberFormat="1" applyFill="1" applyBorder="1" applyAlignment="1">
      <alignment horizontal="center" vertical="center"/>
    </xf>
    <xf numFmtId="1" fontId="0" fillId="0" borderId="58" xfId="0" applyNumberFormat="1" applyFill="1" applyBorder="1" applyAlignment="1">
      <alignment horizontal="center" vertical="center"/>
    </xf>
    <xf numFmtId="1" fontId="0" fillId="0" borderId="56" xfId="0" applyNumberFormat="1" applyFill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1" fontId="0" fillId="0" borderId="57" xfId="0" applyNumberForma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4" borderId="41" xfId="0" applyFont="1" applyFill="1" applyBorder="1" applyAlignment="1">
      <alignment horizontal="center"/>
    </xf>
    <xf numFmtId="0" fontId="2" fillId="34" borderId="78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0" fillId="0" borderId="81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1" fontId="0" fillId="0" borderId="41" xfId="0" applyNumberFormat="1" applyFill="1" applyBorder="1" applyAlignment="1">
      <alignment horizontal="center" vertical="center"/>
    </xf>
    <xf numFmtId="1" fontId="0" fillId="0" borderId="78" xfId="0" applyNumberFormat="1" applyFill="1" applyBorder="1" applyAlignment="1">
      <alignment horizontal="center" vertical="center"/>
    </xf>
    <xf numFmtId="1" fontId="0" fillId="0" borderId="81" xfId="0" applyNumberForma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2" fontId="0" fillId="0" borderId="54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0" fillId="0" borderId="38" xfId="0" applyNumberForma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1" fontId="0" fillId="0" borderId="36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67" xfId="0" applyNumberForma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78" xfId="0" applyFont="1" applyFill="1" applyBorder="1" applyAlignment="1">
      <alignment horizontal="center"/>
    </xf>
    <xf numFmtId="0" fontId="2" fillId="35" borderId="81" xfId="0" applyFont="1" applyFill="1" applyBorder="1" applyAlignment="1">
      <alignment horizontal="center"/>
    </xf>
    <xf numFmtId="1" fontId="0" fillId="0" borderId="34" xfId="0" applyNumberFormat="1" applyFill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55" xfId="0" applyNumberFormat="1" applyFill="1" applyBorder="1" applyAlignment="1">
      <alignment horizontal="center"/>
    </xf>
    <xf numFmtId="1" fontId="0" fillId="0" borderId="43" xfId="0" applyNumberFormat="1" applyFill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2" fontId="0" fillId="0" borderId="36" xfId="0" applyNumberFormat="1" applyFill="1" applyBorder="1" applyAlignment="1">
      <alignment horizontal="center" vertical="center" wrapText="1"/>
    </xf>
    <xf numFmtId="2" fontId="0" fillId="0" borderId="45" xfId="0" applyNumberFormat="1" applyFill="1" applyBorder="1" applyAlignment="1">
      <alignment horizontal="center" vertical="center" wrapText="1"/>
    </xf>
    <xf numFmtId="2" fontId="0" fillId="0" borderId="49" xfId="0" applyNumberForma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" fontId="0" fillId="0" borderId="67" xfId="0" applyNumberFormat="1" applyFont="1" applyFill="1" applyBorder="1" applyAlignment="1">
      <alignment horizontal="center"/>
    </xf>
    <xf numFmtId="0" fontId="1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" fontId="0" fillId="0" borderId="69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/>
    </xf>
    <xf numFmtId="1" fontId="0" fillId="0" borderId="58" xfId="0" applyNumberForma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58" xfId="0" applyNumberFormat="1" applyFon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2" fontId="0" fillId="0" borderId="26" xfId="0" applyNumberFormat="1" applyFill="1" applyBorder="1" applyAlignment="1">
      <alignment horizontal="center" vertical="center" wrapText="1"/>
    </xf>
    <xf numFmtId="2" fontId="0" fillId="0" borderId="52" xfId="0" applyNumberFormat="1" applyFill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1" fontId="0" fillId="0" borderId="24" xfId="0" applyNumberFormat="1" applyFill="1" applyBorder="1" applyAlignment="1">
      <alignment horizontal="center" vertical="center" wrapText="1"/>
    </xf>
    <xf numFmtId="1" fontId="0" fillId="0" borderId="55" xfId="0" applyNumberFormat="1" applyFill="1" applyBorder="1" applyAlignment="1">
      <alignment horizontal="center" vertical="center" wrapText="1"/>
    </xf>
    <xf numFmtId="1" fontId="0" fillId="0" borderId="56" xfId="0" applyNumberForma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" fontId="0" fillId="0" borderId="51" xfId="0" applyNumberFormat="1" applyFill="1" applyBorder="1" applyAlignment="1">
      <alignment horizontal="center" vertical="center" wrapText="1"/>
    </xf>
    <xf numFmtId="1" fontId="0" fillId="0" borderId="85" xfId="0" applyNumberForma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1" fontId="0" fillId="0" borderId="41" xfId="0" applyNumberFormat="1" applyFill="1" applyBorder="1" applyAlignment="1">
      <alignment horizontal="center" vertical="center" wrapText="1"/>
    </xf>
    <xf numFmtId="1" fontId="0" fillId="0" borderId="81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86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/>
    </xf>
    <xf numFmtId="1" fontId="0" fillId="0" borderId="67" xfId="0" applyNumberFormat="1" applyFon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1" fontId="0" fillId="0" borderId="63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69" xfId="0" applyNumberFormat="1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/>
    </xf>
    <xf numFmtId="0" fontId="50" fillId="0" borderId="13" xfId="0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82" xfId="0" applyFont="1" applyFill="1" applyBorder="1" applyAlignment="1">
      <alignment horizontal="center"/>
    </xf>
    <xf numFmtId="1" fontId="0" fillId="0" borderId="58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" fontId="0" fillId="0" borderId="26" xfId="0" applyNumberFormat="1" applyFill="1" applyBorder="1" applyAlignment="1">
      <alignment horizontal="center" vertical="center" wrapText="1"/>
    </xf>
    <xf numFmtId="1" fontId="0" fillId="0" borderId="52" xfId="0" applyNumberForma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57" xfId="0" applyNumberFormat="1" applyFont="1" applyFill="1" applyBorder="1" applyAlignment="1">
      <alignment horizontal="center" vertical="center"/>
    </xf>
    <xf numFmtId="1" fontId="0" fillId="0" borderId="57" xfId="0" applyNumberFormat="1" applyFill="1" applyBorder="1" applyAlignment="1">
      <alignment horizontal="center"/>
    </xf>
    <xf numFmtId="1" fontId="0" fillId="0" borderId="66" xfId="0" applyNumberFormat="1" applyFont="1" applyFill="1" applyBorder="1" applyAlignment="1">
      <alignment horizontal="center"/>
    </xf>
    <xf numFmtId="1" fontId="0" fillId="0" borderId="69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87" xfId="0" applyNumberFormat="1" applyFill="1" applyBorder="1" applyAlignment="1">
      <alignment horizontal="center" vertical="center"/>
    </xf>
    <xf numFmtId="1" fontId="0" fillId="0" borderId="49" xfId="0" applyNumberFormat="1" applyFill="1" applyBorder="1" applyAlignment="1">
      <alignment horizontal="center"/>
    </xf>
    <xf numFmtId="1" fontId="0" fillId="0" borderId="66" xfId="0" applyNumberFormat="1" applyFill="1" applyBorder="1" applyAlignment="1">
      <alignment horizontal="center"/>
    </xf>
    <xf numFmtId="1" fontId="0" fillId="0" borderId="63" xfId="0" applyNumberFormat="1" applyFill="1" applyBorder="1" applyAlignment="1">
      <alignment horizontal="center" vertical="center" wrapText="1"/>
    </xf>
    <xf numFmtId="1" fontId="0" fillId="0" borderId="38" xfId="0" applyNumberFormat="1" applyFill="1" applyBorder="1" applyAlignment="1">
      <alignment horizontal="center" vertical="center" wrapText="1"/>
    </xf>
    <xf numFmtId="1" fontId="0" fillId="0" borderId="64" xfId="0" applyNumberFormat="1" applyFill="1" applyBorder="1" applyAlignment="1">
      <alignment horizontal="center" vertical="center" wrapText="1"/>
    </xf>
    <xf numFmtId="1" fontId="0" fillId="0" borderId="67" xfId="0" applyNumberFormat="1" applyFill="1" applyBorder="1" applyAlignment="1">
      <alignment horizontal="center" vertical="center" wrapText="1"/>
    </xf>
    <xf numFmtId="1" fontId="0" fillId="0" borderId="65" xfId="0" applyNumberFormat="1" applyFill="1" applyBorder="1" applyAlignment="1">
      <alignment horizontal="center" vertical="center" wrapText="1"/>
    </xf>
    <xf numFmtId="1" fontId="0" fillId="0" borderId="39" xfId="0" applyNumberFormat="1" applyFill="1" applyBorder="1" applyAlignment="1">
      <alignment horizontal="center" vertical="center" wrapText="1"/>
    </xf>
    <xf numFmtId="1" fontId="0" fillId="0" borderId="69" xfId="0" applyNumberFormat="1" applyFill="1" applyBorder="1" applyAlignment="1">
      <alignment horizontal="center" vertical="center" wrapText="1"/>
    </xf>
    <xf numFmtId="1" fontId="0" fillId="0" borderId="63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/>
    </xf>
    <xf numFmtId="0" fontId="12" fillId="0" borderId="37" xfId="0" applyFont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86" xfId="0" applyNumberFormat="1" applyFill="1" applyBorder="1" applyAlignment="1">
      <alignment horizontal="center" vertical="center"/>
    </xf>
    <xf numFmtId="1" fontId="0" fillId="0" borderId="76" xfId="0" applyNumberFormat="1" applyFill="1" applyBorder="1" applyAlignment="1">
      <alignment horizontal="center" vertical="center"/>
    </xf>
    <xf numFmtId="1" fontId="0" fillId="0" borderId="82" xfId="0" applyNumberFormat="1" applyFill="1" applyBorder="1" applyAlignment="1">
      <alignment horizontal="center" vertical="center"/>
    </xf>
    <xf numFmtId="1" fontId="0" fillId="0" borderId="65" xfId="0" applyNumberFormat="1" applyFont="1" applyFill="1" applyBorder="1" applyAlignment="1">
      <alignment horizontal="center"/>
    </xf>
    <xf numFmtId="1" fontId="0" fillId="0" borderId="51" xfId="0" applyNumberFormat="1" applyFill="1" applyBorder="1" applyAlignment="1">
      <alignment horizontal="center" vertical="center"/>
    </xf>
    <xf numFmtId="1" fontId="0" fillId="0" borderId="85" xfId="0" applyNumberForma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2" fontId="0" fillId="0" borderId="49" xfId="0" applyNumberFormat="1" applyFill="1" applyBorder="1" applyAlignment="1">
      <alignment horizontal="center" vertical="center"/>
    </xf>
    <xf numFmtId="1" fontId="0" fillId="0" borderId="50" xfId="0" applyNumberFormat="1" applyFill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14" fillId="0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wrapText="1"/>
    </xf>
    <xf numFmtId="0" fontId="0" fillId="0" borderId="12" xfId="0" applyBorder="1" applyAlignment="1">
      <alignment wrapText="1"/>
    </xf>
    <xf numFmtId="0" fontId="50" fillId="0" borderId="0" xfId="0" applyFont="1" applyBorder="1" applyAlignment="1">
      <alignment horizontal="center" wrapText="1"/>
    </xf>
    <xf numFmtId="2" fontId="0" fillId="0" borderId="41" xfId="0" applyNumberFormat="1" applyFill="1" applyBorder="1" applyAlignment="1">
      <alignment horizontal="center" vertical="center"/>
    </xf>
    <xf numFmtId="2" fontId="0" fillId="0" borderId="76" xfId="0" applyNumberForma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2" fontId="0" fillId="0" borderId="13" xfId="0" applyNumberForma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distributed"/>
    </xf>
    <xf numFmtId="0" fontId="2" fillId="0" borderId="49" xfId="0" applyFont="1" applyBorder="1" applyAlignment="1">
      <alignment horizontal="center" vertical="distributed"/>
    </xf>
    <xf numFmtId="0" fontId="2" fillId="0" borderId="37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4" fillId="0" borderId="80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77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173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1" fontId="0" fillId="0" borderId="28" xfId="0" applyNumberForma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wrapText="1"/>
    </xf>
    <xf numFmtId="0" fontId="2" fillId="0" borderId="86" xfId="0" applyFont="1" applyBorder="1" applyAlignment="1">
      <alignment horizont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wrapText="1"/>
    </xf>
    <xf numFmtId="0" fontId="2" fillId="35" borderId="35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13" fillId="0" borderId="34" xfId="0" applyNumberFormat="1" applyFont="1" applyBorder="1" applyAlignment="1">
      <alignment/>
    </xf>
    <xf numFmtId="49" fontId="13" fillId="0" borderId="35" xfId="0" applyNumberFormat="1" applyFont="1" applyBorder="1" applyAlignment="1">
      <alignment/>
    </xf>
    <xf numFmtId="49" fontId="13" fillId="0" borderId="12" xfId="0" applyNumberFormat="1" applyFont="1" applyBorder="1" applyAlignment="1">
      <alignment/>
    </xf>
    <xf numFmtId="49" fontId="14" fillId="0" borderId="34" xfId="0" applyNumberFormat="1" applyFont="1" applyBorder="1" applyAlignment="1">
      <alignment/>
    </xf>
    <xf numFmtId="49" fontId="14" fillId="0" borderId="35" xfId="0" applyNumberFormat="1" applyFont="1" applyBorder="1" applyAlignment="1">
      <alignment/>
    </xf>
    <xf numFmtId="49" fontId="14" fillId="0" borderId="12" xfId="0" applyNumberFormat="1" applyFont="1" applyBorder="1" applyAlignment="1">
      <alignment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6"/>
  <sheetViews>
    <sheetView tabSelected="1"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" sqref="A2:A3"/>
    </sheetView>
  </sheetViews>
  <sheetFormatPr defaultColWidth="9.00390625" defaultRowHeight="12.75"/>
  <cols>
    <col min="1" max="1" width="15.50390625" style="0" customWidth="1"/>
    <col min="2" max="2" width="13.50390625" style="0" customWidth="1"/>
    <col min="3" max="3" width="25.625" style="0" customWidth="1"/>
    <col min="4" max="4" width="13.875" style="0" customWidth="1"/>
    <col min="5" max="5" width="17.625" style="0" customWidth="1"/>
    <col min="6" max="6" width="10.00390625" style="0" customWidth="1"/>
    <col min="7" max="8" width="9.375" style="0" customWidth="1"/>
    <col min="9" max="10" width="15.625" style="0" customWidth="1"/>
    <col min="11" max="11" width="11.125" style="0" customWidth="1"/>
    <col min="12" max="12" width="11.50390625" style="0" customWidth="1"/>
    <col min="13" max="13" width="22.625" style="0" customWidth="1"/>
    <col min="14" max="14" width="11.625" style="0" customWidth="1"/>
    <col min="15" max="15" width="13.375" style="0" customWidth="1"/>
    <col min="16" max="16" width="11.875" style="0" customWidth="1"/>
    <col min="17" max="17" width="11.50390625" style="0" customWidth="1"/>
    <col min="18" max="18" width="21.875" style="0" customWidth="1"/>
    <col min="19" max="19" width="10.875" style="0" customWidth="1"/>
    <col min="20" max="20" width="11.50390625" style="0" customWidth="1"/>
    <col min="21" max="21" width="13.00390625" style="14" customWidth="1"/>
  </cols>
  <sheetData>
    <row r="1" spans="1:20" ht="13.5" thickBot="1">
      <c r="A1" s="444" t="s">
        <v>31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9"/>
    </row>
    <row r="2" spans="1:21" ht="13.5" customHeight="1" thickBot="1">
      <c r="A2" s="311" t="s">
        <v>3</v>
      </c>
      <c r="B2" s="407" t="s">
        <v>22</v>
      </c>
      <c r="C2" s="389" t="s">
        <v>10</v>
      </c>
      <c r="D2" s="389" t="s">
        <v>23</v>
      </c>
      <c r="E2" s="311" t="s">
        <v>8</v>
      </c>
      <c r="F2" s="313" t="s">
        <v>4</v>
      </c>
      <c r="G2" s="314"/>
      <c r="H2" s="315"/>
      <c r="I2" s="402" t="s">
        <v>87</v>
      </c>
      <c r="J2" s="402" t="s">
        <v>86</v>
      </c>
      <c r="K2" s="276" t="s">
        <v>7</v>
      </c>
      <c r="L2" s="277"/>
      <c r="M2" s="277"/>
      <c r="N2" s="277"/>
      <c r="O2" s="278"/>
      <c r="P2" s="276" t="s">
        <v>77</v>
      </c>
      <c r="Q2" s="277"/>
      <c r="R2" s="277"/>
      <c r="S2" s="277"/>
      <c r="T2" s="278"/>
      <c r="U2" s="452"/>
    </row>
    <row r="3" spans="1:21" ht="13.5" thickBot="1">
      <c r="A3" s="312"/>
      <c r="B3" s="408"/>
      <c r="C3" s="409"/>
      <c r="D3" s="409"/>
      <c r="E3" s="312"/>
      <c r="F3" s="128" t="s">
        <v>72</v>
      </c>
      <c r="G3" s="70" t="s">
        <v>70</v>
      </c>
      <c r="H3" s="129" t="s">
        <v>71</v>
      </c>
      <c r="I3" s="406"/>
      <c r="J3" s="406"/>
      <c r="K3" s="324" t="s">
        <v>180</v>
      </c>
      <c r="L3" s="325"/>
      <c r="M3" s="3" t="s">
        <v>179</v>
      </c>
      <c r="N3" s="308" t="s">
        <v>181</v>
      </c>
      <c r="O3" s="326"/>
      <c r="P3" s="324" t="s">
        <v>180</v>
      </c>
      <c r="Q3" s="325"/>
      <c r="R3" s="3" t="s">
        <v>179</v>
      </c>
      <c r="S3" s="308" t="s">
        <v>181</v>
      </c>
      <c r="T3" s="326"/>
      <c r="U3" s="452"/>
    </row>
    <row r="4" spans="1:20" ht="12.75">
      <c r="A4" s="422" t="s">
        <v>127</v>
      </c>
      <c r="B4" s="422">
        <v>2</v>
      </c>
      <c r="C4" s="91" t="s">
        <v>11</v>
      </c>
      <c r="D4" s="117">
        <v>1</v>
      </c>
      <c r="E4" s="91" t="s">
        <v>13</v>
      </c>
      <c r="F4" s="96">
        <v>830</v>
      </c>
      <c r="G4" s="34">
        <v>540</v>
      </c>
      <c r="H4" s="37">
        <v>150</v>
      </c>
      <c r="I4" s="41">
        <f aca="true" t="shared" si="0" ref="I4:I18">F4*G4*H4/1000000000</f>
        <v>0.06723</v>
      </c>
      <c r="J4" s="426">
        <f>I4+I6</f>
        <v>0.096805</v>
      </c>
      <c r="K4" s="415">
        <v>17.12</v>
      </c>
      <c r="L4" s="416"/>
      <c r="M4" s="102">
        <v>17.12</v>
      </c>
      <c r="N4" s="415">
        <v>17.12</v>
      </c>
      <c r="O4" s="416"/>
      <c r="P4" s="428">
        <f>K4+K6</f>
        <v>23.75</v>
      </c>
      <c r="Q4" s="429"/>
      <c r="R4" s="434">
        <f>M4+M5</f>
        <v>25.9</v>
      </c>
      <c r="S4" s="437">
        <f>N4+N5</f>
        <v>29.520000000000003</v>
      </c>
      <c r="T4" s="438"/>
    </row>
    <row r="5" spans="1:20" ht="12.75">
      <c r="A5" s="423"/>
      <c r="B5" s="423"/>
      <c r="C5" s="92" t="s">
        <v>245</v>
      </c>
      <c r="D5" s="382">
        <v>1</v>
      </c>
      <c r="E5" s="94" t="s">
        <v>13</v>
      </c>
      <c r="F5" s="97">
        <v>620</v>
      </c>
      <c r="G5" s="31">
        <v>620</v>
      </c>
      <c r="H5" s="98">
        <v>40</v>
      </c>
      <c r="I5" s="101">
        <f t="shared" si="0"/>
        <v>0.015376</v>
      </c>
      <c r="J5" s="427"/>
      <c r="K5" s="369" t="s">
        <v>247</v>
      </c>
      <c r="L5" s="293"/>
      <c r="M5" s="103">
        <v>8.78</v>
      </c>
      <c r="N5" s="369">
        <v>12.4</v>
      </c>
      <c r="O5" s="293"/>
      <c r="P5" s="430"/>
      <c r="Q5" s="431"/>
      <c r="R5" s="435"/>
      <c r="S5" s="439"/>
      <c r="T5" s="440"/>
    </row>
    <row r="6" spans="1:20" ht="13.5" thickBot="1">
      <c r="A6" s="424"/>
      <c r="B6" s="424"/>
      <c r="C6" s="104" t="s">
        <v>244</v>
      </c>
      <c r="D6" s="425"/>
      <c r="E6" s="105" t="s">
        <v>246</v>
      </c>
      <c r="F6" s="106">
        <v>650</v>
      </c>
      <c r="G6" s="46">
        <v>650</v>
      </c>
      <c r="H6" s="107">
        <v>70</v>
      </c>
      <c r="I6" s="108">
        <f t="shared" si="0"/>
        <v>0.029575</v>
      </c>
      <c r="J6" s="424"/>
      <c r="K6" s="411">
        <v>6.63</v>
      </c>
      <c r="L6" s="412"/>
      <c r="M6" s="109" t="s">
        <v>247</v>
      </c>
      <c r="N6" s="411">
        <v>12.4</v>
      </c>
      <c r="O6" s="412"/>
      <c r="P6" s="432"/>
      <c r="Q6" s="433"/>
      <c r="R6" s="436"/>
      <c r="S6" s="441"/>
      <c r="T6" s="442"/>
    </row>
    <row r="7" spans="1:20" ht="12.75">
      <c r="A7" s="422" t="s">
        <v>79</v>
      </c>
      <c r="B7" s="422">
        <v>2</v>
      </c>
      <c r="C7" s="91" t="s">
        <v>11</v>
      </c>
      <c r="D7" s="118">
        <v>1</v>
      </c>
      <c r="E7" s="91" t="s">
        <v>13</v>
      </c>
      <c r="F7" s="36">
        <v>830</v>
      </c>
      <c r="G7" s="34">
        <v>540</v>
      </c>
      <c r="H7" s="37">
        <v>150</v>
      </c>
      <c r="I7" s="41">
        <f t="shared" si="0"/>
        <v>0.06723</v>
      </c>
      <c r="J7" s="426">
        <f>I7+I9</f>
        <v>0.110455</v>
      </c>
      <c r="K7" s="294">
        <v>19.41</v>
      </c>
      <c r="L7" s="295"/>
      <c r="M7" s="80">
        <v>19.41</v>
      </c>
      <c r="N7" s="294">
        <v>19.41</v>
      </c>
      <c r="O7" s="295"/>
      <c r="P7" s="428">
        <f>K7+K9</f>
        <v>28.93</v>
      </c>
      <c r="Q7" s="429"/>
      <c r="R7" s="460">
        <f>M7+M8</f>
        <v>32.18</v>
      </c>
      <c r="S7" s="428">
        <f>N7+N8</f>
        <v>38.34</v>
      </c>
      <c r="T7" s="429"/>
    </row>
    <row r="8" spans="1:20" ht="12.75">
      <c r="A8" s="423"/>
      <c r="B8" s="423"/>
      <c r="C8" s="92" t="s">
        <v>245</v>
      </c>
      <c r="D8" s="382">
        <v>1</v>
      </c>
      <c r="E8" s="94" t="s">
        <v>13</v>
      </c>
      <c r="F8" s="111">
        <v>920</v>
      </c>
      <c r="G8" s="31">
        <v>620</v>
      </c>
      <c r="H8" s="98">
        <v>40</v>
      </c>
      <c r="I8" s="101">
        <f t="shared" si="0"/>
        <v>0.022816</v>
      </c>
      <c r="J8" s="427"/>
      <c r="K8" s="369" t="s">
        <v>247</v>
      </c>
      <c r="L8" s="293"/>
      <c r="M8" s="83">
        <v>12.77</v>
      </c>
      <c r="N8" s="290">
        <v>18.93</v>
      </c>
      <c r="O8" s="302"/>
      <c r="P8" s="430"/>
      <c r="Q8" s="431"/>
      <c r="R8" s="461"/>
      <c r="S8" s="430"/>
      <c r="T8" s="431"/>
    </row>
    <row r="9" spans="1:20" ht="13.5" thickBot="1">
      <c r="A9" s="424"/>
      <c r="B9" s="424"/>
      <c r="C9" s="104" t="s">
        <v>244</v>
      </c>
      <c r="D9" s="425"/>
      <c r="E9" s="105" t="s">
        <v>246</v>
      </c>
      <c r="F9" s="53">
        <v>950</v>
      </c>
      <c r="G9" s="46">
        <v>650</v>
      </c>
      <c r="H9" s="107">
        <v>70</v>
      </c>
      <c r="I9" s="108">
        <f t="shared" si="0"/>
        <v>0.043225</v>
      </c>
      <c r="J9" s="424"/>
      <c r="K9" s="413">
        <v>9.52</v>
      </c>
      <c r="L9" s="457"/>
      <c r="M9" s="84" t="s">
        <v>247</v>
      </c>
      <c r="N9" s="413">
        <v>18.93</v>
      </c>
      <c r="O9" s="414"/>
      <c r="P9" s="432"/>
      <c r="Q9" s="433"/>
      <c r="R9" s="424"/>
      <c r="S9" s="432"/>
      <c r="T9" s="433"/>
    </row>
    <row r="10" spans="1:20" ht="12.75">
      <c r="A10" s="422" t="s">
        <v>0</v>
      </c>
      <c r="B10" s="422">
        <v>2</v>
      </c>
      <c r="C10" s="91" t="s">
        <v>11</v>
      </c>
      <c r="D10" s="118">
        <v>1</v>
      </c>
      <c r="E10" s="91" t="s">
        <v>13</v>
      </c>
      <c r="F10" s="36">
        <v>1100</v>
      </c>
      <c r="G10" s="34">
        <v>540</v>
      </c>
      <c r="H10" s="37">
        <v>150</v>
      </c>
      <c r="I10" s="41">
        <f t="shared" si="0"/>
        <v>0.0891</v>
      </c>
      <c r="J10" s="426">
        <f>I10+I12</f>
        <v>0.145975</v>
      </c>
      <c r="K10" s="294">
        <v>21.34</v>
      </c>
      <c r="L10" s="295"/>
      <c r="M10" s="80">
        <v>21.34</v>
      </c>
      <c r="N10" s="294">
        <v>21.34</v>
      </c>
      <c r="O10" s="295"/>
      <c r="P10" s="428">
        <f>K10+K12</f>
        <v>33.76</v>
      </c>
      <c r="Q10" s="429"/>
      <c r="R10" s="460">
        <f>M10+M11</f>
        <v>38.83</v>
      </c>
      <c r="S10" s="428">
        <f>N10+N11</f>
        <v>46.08</v>
      </c>
      <c r="T10" s="429"/>
    </row>
    <row r="11" spans="1:20" ht="12.75">
      <c r="A11" s="423"/>
      <c r="B11" s="423"/>
      <c r="C11" s="92" t="s">
        <v>245</v>
      </c>
      <c r="D11" s="382">
        <v>1</v>
      </c>
      <c r="E11" s="94" t="s">
        <v>13</v>
      </c>
      <c r="F11" s="111">
        <v>1220</v>
      </c>
      <c r="G11" s="31">
        <v>620</v>
      </c>
      <c r="H11" s="98">
        <v>40</v>
      </c>
      <c r="I11" s="101">
        <f t="shared" si="0"/>
        <v>0.030256</v>
      </c>
      <c r="J11" s="427"/>
      <c r="K11" s="290" t="s">
        <v>247</v>
      </c>
      <c r="L11" s="291"/>
      <c r="M11" s="83">
        <v>17.49</v>
      </c>
      <c r="N11" s="290">
        <v>24.74</v>
      </c>
      <c r="O11" s="302"/>
      <c r="P11" s="430"/>
      <c r="Q11" s="431"/>
      <c r="R11" s="461"/>
      <c r="S11" s="430"/>
      <c r="T11" s="431"/>
    </row>
    <row r="12" spans="1:20" ht="13.5" thickBot="1">
      <c r="A12" s="424"/>
      <c r="B12" s="424"/>
      <c r="C12" s="104" t="s">
        <v>244</v>
      </c>
      <c r="D12" s="425"/>
      <c r="E12" s="105" t="s">
        <v>246</v>
      </c>
      <c r="F12" s="53">
        <v>1250</v>
      </c>
      <c r="G12" s="46">
        <v>650</v>
      </c>
      <c r="H12" s="107">
        <v>70</v>
      </c>
      <c r="I12" s="108">
        <f t="shared" si="0"/>
        <v>0.056875</v>
      </c>
      <c r="J12" s="424"/>
      <c r="K12" s="413">
        <v>12.42</v>
      </c>
      <c r="L12" s="457"/>
      <c r="M12" s="84" t="s">
        <v>247</v>
      </c>
      <c r="N12" s="413">
        <v>24.74</v>
      </c>
      <c r="O12" s="414"/>
      <c r="P12" s="432"/>
      <c r="Q12" s="433"/>
      <c r="R12" s="424"/>
      <c r="S12" s="432"/>
      <c r="T12" s="433"/>
    </row>
    <row r="13" spans="1:20" ht="12.75">
      <c r="A13" s="422" t="s">
        <v>1</v>
      </c>
      <c r="B13" s="422">
        <v>2</v>
      </c>
      <c r="C13" s="91" t="s">
        <v>11</v>
      </c>
      <c r="D13" s="118">
        <v>1</v>
      </c>
      <c r="E13" s="91" t="s">
        <v>13</v>
      </c>
      <c r="F13" s="36">
        <v>1400</v>
      </c>
      <c r="G13" s="34">
        <v>540</v>
      </c>
      <c r="H13" s="37">
        <v>150</v>
      </c>
      <c r="I13" s="41">
        <f t="shared" si="0"/>
        <v>0.1134</v>
      </c>
      <c r="J13" s="426">
        <f>I13+I15</f>
        <v>0.183925</v>
      </c>
      <c r="K13" s="294">
        <v>23.09</v>
      </c>
      <c r="L13" s="295"/>
      <c r="M13" s="80">
        <v>23.09</v>
      </c>
      <c r="N13" s="294">
        <v>23.09</v>
      </c>
      <c r="O13" s="295"/>
      <c r="P13" s="428">
        <f>K13+K15</f>
        <v>38.79</v>
      </c>
      <c r="Q13" s="429"/>
      <c r="R13" s="460">
        <f>M13+M14</f>
        <v>44.58</v>
      </c>
      <c r="S13" s="428">
        <f>N13+N14</f>
        <v>53.64</v>
      </c>
      <c r="T13" s="429"/>
    </row>
    <row r="14" spans="1:20" ht="12.75">
      <c r="A14" s="423"/>
      <c r="B14" s="423"/>
      <c r="C14" s="92" t="s">
        <v>245</v>
      </c>
      <c r="D14" s="382">
        <v>1</v>
      </c>
      <c r="E14" s="94" t="s">
        <v>13</v>
      </c>
      <c r="F14" s="111">
        <v>1520</v>
      </c>
      <c r="G14" s="31">
        <v>620</v>
      </c>
      <c r="H14" s="98">
        <v>40</v>
      </c>
      <c r="I14" s="101">
        <f t="shared" si="0"/>
        <v>0.037696</v>
      </c>
      <c r="J14" s="427"/>
      <c r="K14" s="290" t="s">
        <v>247</v>
      </c>
      <c r="L14" s="291"/>
      <c r="M14" s="114">
        <v>21.49</v>
      </c>
      <c r="N14" s="292">
        <v>30.55</v>
      </c>
      <c r="O14" s="293"/>
      <c r="P14" s="430"/>
      <c r="Q14" s="431"/>
      <c r="R14" s="461"/>
      <c r="S14" s="430"/>
      <c r="T14" s="431"/>
    </row>
    <row r="15" spans="1:20" ht="13.5" thickBot="1">
      <c r="A15" s="424"/>
      <c r="B15" s="424"/>
      <c r="C15" s="104" t="s">
        <v>244</v>
      </c>
      <c r="D15" s="425"/>
      <c r="E15" s="105" t="s">
        <v>246</v>
      </c>
      <c r="F15" s="53">
        <v>1550</v>
      </c>
      <c r="G15" s="46">
        <v>650</v>
      </c>
      <c r="H15" s="107">
        <v>70</v>
      </c>
      <c r="I15" s="108">
        <f t="shared" si="0"/>
        <v>0.070525</v>
      </c>
      <c r="J15" s="424"/>
      <c r="K15" s="413">
        <v>15.7</v>
      </c>
      <c r="L15" s="457"/>
      <c r="M15" s="116" t="s">
        <v>247</v>
      </c>
      <c r="N15" s="303">
        <v>30.55</v>
      </c>
      <c r="O15" s="412"/>
      <c r="P15" s="432"/>
      <c r="Q15" s="433"/>
      <c r="R15" s="424"/>
      <c r="S15" s="432"/>
      <c r="T15" s="433"/>
    </row>
    <row r="16" spans="1:20" ht="12.75">
      <c r="A16" s="422" t="s">
        <v>2</v>
      </c>
      <c r="B16" s="422">
        <v>2</v>
      </c>
      <c r="C16" s="91" t="s">
        <v>11</v>
      </c>
      <c r="D16" s="118">
        <v>1</v>
      </c>
      <c r="E16" s="91" t="s">
        <v>13</v>
      </c>
      <c r="F16" s="36">
        <v>1700</v>
      </c>
      <c r="G16" s="34">
        <v>540</v>
      </c>
      <c r="H16" s="37">
        <v>150</v>
      </c>
      <c r="I16" s="41">
        <f t="shared" si="0"/>
        <v>0.1377</v>
      </c>
      <c r="J16" s="426">
        <f>I16+I18</f>
        <v>0.221875</v>
      </c>
      <c r="K16" s="294">
        <v>24.85</v>
      </c>
      <c r="L16" s="295"/>
      <c r="M16" s="80">
        <v>24.85</v>
      </c>
      <c r="N16" s="294">
        <v>24.85</v>
      </c>
      <c r="O16" s="295"/>
      <c r="P16" s="428">
        <f>K16+K18</f>
        <v>43.480000000000004</v>
      </c>
      <c r="Q16" s="429"/>
      <c r="R16" s="460">
        <f>M16+M17</f>
        <v>50.34</v>
      </c>
      <c r="S16" s="428">
        <f>N16+N17</f>
        <v>61.21</v>
      </c>
      <c r="T16" s="429"/>
    </row>
    <row r="17" spans="1:20" ht="12.75">
      <c r="A17" s="423"/>
      <c r="B17" s="423"/>
      <c r="C17" s="92" t="s">
        <v>245</v>
      </c>
      <c r="D17" s="382">
        <v>1</v>
      </c>
      <c r="E17" s="94" t="s">
        <v>13</v>
      </c>
      <c r="F17" s="111">
        <v>1820</v>
      </c>
      <c r="G17" s="31">
        <v>620</v>
      </c>
      <c r="H17" s="98">
        <v>40</v>
      </c>
      <c r="I17" s="101">
        <f t="shared" si="0"/>
        <v>0.045136</v>
      </c>
      <c r="J17" s="427"/>
      <c r="K17" s="290" t="s">
        <v>247</v>
      </c>
      <c r="L17" s="291"/>
      <c r="M17" s="114">
        <v>25.49</v>
      </c>
      <c r="N17" s="292">
        <v>36.36</v>
      </c>
      <c r="O17" s="293"/>
      <c r="P17" s="430"/>
      <c r="Q17" s="431"/>
      <c r="R17" s="461"/>
      <c r="S17" s="430"/>
      <c r="T17" s="431"/>
    </row>
    <row r="18" spans="1:20" ht="13.5" thickBot="1">
      <c r="A18" s="443"/>
      <c r="B18" s="443"/>
      <c r="C18" s="93" t="s">
        <v>244</v>
      </c>
      <c r="D18" s="462"/>
      <c r="E18" s="95" t="s">
        <v>246</v>
      </c>
      <c r="F18" s="52">
        <v>1850</v>
      </c>
      <c r="G18" s="29">
        <v>650</v>
      </c>
      <c r="H18" s="100">
        <v>70</v>
      </c>
      <c r="I18" s="49">
        <f t="shared" si="0"/>
        <v>0.084175</v>
      </c>
      <c r="J18" s="443"/>
      <c r="K18" s="463">
        <v>18.63</v>
      </c>
      <c r="L18" s="464"/>
      <c r="M18" s="115" t="s">
        <v>247</v>
      </c>
      <c r="N18" s="306">
        <v>36.36</v>
      </c>
      <c r="O18" s="465"/>
      <c r="P18" s="458"/>
      <c r="Q18" s="459"/>
      <c r="R18" s="443"/>
      <c r="S18" s="458"/>
      <c r="T18" s="459"/>
    </row>
    <row r="19" ht="13.5" thickBot="1"/>
    <row r="20" spans="1:20" ht="13.5" thickBot="1">
      <c r="A20" s="419" t="s">
        <v>92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8"/>
    </row>
    <row r="21" spans="1:20" ht="13.5" thickBot="1">
      <c r="A21" s="311" t="s">
        <v>3</v>
      </c>
      <c r="B21" s="407" t="s">
        <v>22</v>
      </c>
      <c r="C21" s="389" t="s">
        <v>10</v>
      </c>
      <c r="D21" s="389" t="s">
        <v>23</v>
      </c>
      <c r="E21" s="311" t="s">
        <v>8</v>
      </c>
      <c r="F21" s="313" t="s">
        <v>4</v>
      </c>
      <c r="G21" s="314"/>
      <c r="H21" s="315"/>
      <c r="I21" s="402" t="s">
        <v>87</v>
      </c>
      <c r="J21" s="402" t="s">
        <v>86</v>
      </c>
      <c r="K21" s="276" t="s">
        <v>7</v>
      </c>
      <c r="L21" s="277"/>
      <c r="M21" s="277"/>
      <c r="N21" s="277"/>
      <c r="O21" s="278"/>
      <c r="P21" s="276" t="s">
        <v>77</v>
      </c>
      <c r="Q21" s="277"/>
      <c r="R21" s="277"/>
      <c r="S21" s="277"/>
      <c r="T21" s="278"/>
    </row>
    <row r="22" spans="1:20" ht="13.5" thickBot="1">
      <c r="A22" s="312"/>
      <c r="B22" s="408"/>
      <c r="C22" s="409"/>
      <c r="D22" s="409"/>
      <c r="E22" s="312"/>
      <c r="F22" s="128" t="s">
        <v>72</v>
      </c>
      <c r="G22" s="70" t="s">
        <v>70</v>
      </c>
      <c r="H22" s="129" t="s">
        <v>71</v>
      </c>
      <c r="I22" s="406"/>
      <c r="J22" s="406"/>
      <c r="K22" s="417" t="s">
        <v>180</v>
      </c>
      <c r="L22" s="418"/>
      <c r="M22" s="22" t="s">
        <v>179</v>
      </c>
      <c r="N22" s="420" t="s">
        <v>181</v>
      </c>
      <c r="O22" s="421"/>
      <c r="P22" s="417" t="s">
        <v>180</v>
      </c>
      <c r="Q22" s="418"/>
      <c r="R22" s="22" t="s">
        <v>179</v>
      </c>
      <c r="S22" s="420" t="s">
        <v>181</v>
      </c>
      <c r="T22" s="421"/>
    </row>
    <row r="23" spans="1:20" ht="12.75">
      <c r="A23" s="386" t="s">
        <v>82</v>
      </c>
      <c r="B23" s="386">
        <v>3</v>
      </c>
      <c r="C23" s="91" t="s">
        <v>11</v>
      </c>
      <c r="D23" s="117">
        <v>1</v>
      </c>
      <c r="E23" s="91" t="s">
        <v>13</v>
      </c>
      <c r="F23" s="36">
        <v>830</v>
      </c>
      <c r="G23" s="34">
        <v>540</v>
      </c>
      <c r="H23" s="37">
        <v>150</v>
      </c>
      <c r="I23" s="41">
        <f aca="true" t="shared" si="1" ref="I23:I38">F23*G23*H23/1000000000</f>
        <v>0.06723</v>
      </c>
      <c r="J23" s="394">
        <f>I23+I25+I26</f>
        <v>0.204455</v>
      </c>
      <c r="K23" s="294">
        <v>19.41</v>
      </c>
      <c r="L23" s="295"/>
      <c r="M23" s="80">
        <v>19.41</v>
      </c>
      <c r="N23" s="294">
        <v>19.41</v>
      </c>
      <c r="O23" s="295"/>
      <c r="P23" s="294">
        <f>K23+K25+K26</f>
        <v>55.18</v>
      </c>
      <c r="Q23" s="295"/>
      <c r="R23" s="299">
        <f>M23+M24+M26</f>
        <v>58.43</v>
      </c>
      <c r="S23" s="294">
        <f>N23+N24+N26</f>
        <v>64.59</v>
      </c>
      <c r="T23" s="295"/>
    </row>
    <row r="24" spans="1:20" ht="12.75">
      <c r="A24" s="387"/>
      <c r="B24" s="387"/>
      <c r="C24" s="92" t="s">
        <v>245</v>
      </c>
      <c r="D24" s="382">
        <v>1</v>
      </c>
      <c r="E24" s="94" t="s">
        <v>13</v>
      </c>
      <c r="F24" s="111">
        <v>920</v>
      </c>
      <c r="G24" s="31">
        <v>620</v>
      </c>
      <c r="H24" s="98">
        <v>40</v>
      </c>
      <c r="I24" s="101">
        <f t="shared" si="1"/>
        <v>0.022816</v>
      </c>
      <c r="J24" s="395"/>
      <c r="K24" s="290" t="s">
        <v>247</v>
      </c>
      <c r="L24" s="291"/>
      <c r="M24" s="83">
        <v>12.77</v>
      </c>
      <c r="N24" s="290">
        <v>18.93</v>
      </c>
      <c r="O24" s="302"/>
      <c r="P24" s="292"/>
      <c r="Q24" s="305"/>
      <c r="R24" s="300"/>
      <c r="S24" s="292"/>
      <c r="T24" s="305"/>
    </row>
    <row r="25" spans="1:20" ht="12.75">
      <c r="A25" s="387"/>
      <c r="B25" s="387"/>
      <c r="C25" s="92" t="s">
        <v>244</v>
      </c>
      <c r="D25" s="382"/>
      <c r="E25" s="120" t="s">
        <v>246</v>
      </c>
      <c r="F25" s="111">
        <v>950</v>
      </c>
      <c r="G25" s="31">
        <v>650</v>
      </c>
      <c r="H25" s="98">
        <v>70</v>
      </c>
      <c r="I25" s="101">
        <f t="shared" si="1"/>
        <v>0.043225</v>
      </c>
      <c r="J25" s="395"/>
      <c r="K25" s="290">
        <v>9.52</v>
      </c>
      <c r="L25" s="291"/>
      <c r="M25" s="83" t="s">
        <v>247</v>
      </c>
      <c r="N25" s="290">
        <v>18.93</v>
      </c>
      <c r="O25" s="302"/>
      <c r="P25" s="292"/>
      <c r="Q25" s="305"/>
      <c r="R25" s="300"/>
      <c r="S25" s="292"/>
      <c r="T25" s="305"/>
    </row>
    <row r="26" spans="1:20" ht="13.5" thickBot="1">
      <c r="A26" s="391"/>
      <c r="B26" s="391"/>
      <c r="C26" s="124" t="s">
        <v>14</v>
      </c>
      <c r="D26" s="125">
        <v>1</v>
      </c>
      <c r="E26" s="126" t="s">
        <v>46</v>
      </c>
      <c r="F26" s="127">
        <f>940</f>
        <v>940</v>
      </c>
      <c r="G26" s="51">
        <f>250</f>
        <v>250</v>
      </c>
      <c r="H26" s="107">
        <f>400</f>
        <v>400</v>
      </c>
      <c r="I26" s="108">
        <f t="shared" si="1"/>
        <v>0.094</v>
      </c>
      <c r="J26" s="396"/>
      <c r="K26" s="303">
        <v>26.25</v>
      </c>
      <c r="L26" s="304"/>
      <c r="M26" s="84">
        <v>26.25</v>
      </c>
      <c r="N26" s="303">
        <v>26.25</v>
      </c>
      <c r="O26" s="304"/>
      <c r="P26" s="303"/>
      <c r="Q26" s="304"/>
      <c r="R26" s="301"/>
      <c r="S26" s="303"/>
      <c r="T26" s="304"/>
    </row>
    <row r="27" spans="1:20" ht="12.75">
      <c r="A27" s="386" t="s">
        <v>15</v>
      </c>
      <c r="B27" s="386">
        <v>3</v>
      </c>
      <c r="C27" s="91" t="s">
        <v>11</v>
      </c>
      <c r="D27" s="117">
        <v>1</v>
      </c>
      <c r="E27" s="91" t="s">
        <v>13</v>
      </c>
      <c r="F27" s="36">
        <v>1100</v>
      </c>
      <c r="G27" s="34">
        <v>540</v>
      </c>
      <c r="H27" s="37">
        <v>150</v>
      </c>
      <c r="I27" s="41">
        <f t="shared" si="1"/>
        <v>0.0891</v>
      </c>
      <c r="J27" s="394">
        <f>I27+I29+I30</f>
        <v>0.26997499999999997</v>
      </c>
      <c r="K27" s="294">
        <v>21.34</v>
      </c>
      <c r="L27" s="295"/>
      <c r="M27" s="80">
        <v>21.34</v>
      </c>
      <c r="N27" s="294">
        <v>21.34</v>
      </c>
      <c r="O27" s="295"/>
      <c r="P27" s="294">
        <f>K27+K29+K30</f>
        <v>66.31</v>
      </c>
      <c r="Q27" s="295"/>
      <c r="R27" s="299">
        <f>M27+M28+M30</f>
        <v>71.38</v>
      </c>
      <c r="S27" s="294">
        <f>N27+N28+N30</f>
        <v>78.63</v>
      </c>
      <c r="T27" s="295"/>
    </row>
    <row r="28" spans="1:20" ht="12.75">
      <c r="A28" s="387"/>
      <c r="B28" s="387"/>
      <c r="C28" s="92" t="s">
        <v>245</v>
      </c>
      <c r="D28" s="382">
        <v>1</v>
      </c>
      <c r="E28" s="94" t="s">
        <v>13</v>
      </c>
      <c r="F28" s="111">
        <v>1220</v>
      </c>
      <c r="G28" s="31">
        <v>620</v>
      </c>
      <c r="H28" s="98">
        <v>40</v>
      </c>
      <c r="I28" s="101">
        <f t="shared" si="1"/>
        <v>0.030256</v>
      </c>
      <c r="J28" s="395"/>
      <c r="K28" s="290" t="s">
        <v>247</v>
      </c>
      <c r="L28" s="291"/>
      <c r="M28" s="83">
        <v>17.49</v>
      </c>
      <c r="N28" s="290">
        <v>24.74</v>
      </c>
      <c r="O28" s="302"/>
      <c r="P28" s="292"/>
      <c r="Q28" s="305"/>
      <c r="R28" s="300"/>
      <c r="S28" s="292"/>
      <c r="T28" s="305"/>
    </row>
    <row r="29" spans="1:20" ht="12.75">
      <c r="A29" s="387"/>
      <c r="B29" s="387"/>
      <c r="C29" s="92" t="s">
        <v>244</v>
      </c>
      <c r="D29" s="382"/>
      <c r="E29" s="120" t="s">
        <v>246</v>
      </c>
      <c r="F29" s="111">
        <v>1250</v>
      </c>
      <c r="G29" s="31">
        <v>650</v>
      </c>
      <c r="H29" s="98">
        <v>70</v>
      </c>
      <c r="I29" s="101">
        <f t="shared" si="1"/>
        <v>0.056875</v>
      </c>
      <c r="J29" s="395"/>
      <c r="K29" s="290">
        <v>12.42</v>
      </c>
      <c r="L29" s="291"/>
      <c r="M29" s="83" t="s">
        <v>247</v>
      </c>
      <c r="N29" s="290">
        <v>24.74</v>
      </c>
      <c r="O29" s="302"/>
      <c r="P29" s="292"/>
      <c r="Q29" s="305"/>
      <c r="R29" s="300"/>
      <c r="S29" s="292"/>
      <c r="T29" s="305"/>
    </row>
    <row r="30" spans="1:20" ht="13.5" thickBot="1">
      <c r="A30" s="391"/>
      <c r="B30" s="391"/>
      <c r="C30" s="124" t="s">
        <v>14</v>
      </c>
      <c r="D30" s="125">
        <v>1</v>
      </c>
      <c r="E30" s="126" t="s">
        <v>46</v>
      </c>
      <c r="F30" s="127">
        <v>1240</v>
      </c>
      <c r="G30" s="51">
        <v>250</v>
      </c>
      <c r="H30" s="107">
        <v>400</v>
      </c>
      <c r="I30" s="108">
        <f t="shared" si="1"/>
        <v>0.124</v>
      </c>
      <c r="J30" s="396"/>
      <c r="K30" s="303">
        <v>32.55</v>
      </c>
      <c r="L30" s="304"/>
      <c r="M30" s="84">
        <v>32.55</v>
      </c>
      <c r="N30" s="303">
        <v>32.55</v>
      </c>
      <c r="O30" s="304"/>
      <c r="P30" s="303"/>
      <c r="Q30" s="304"/>
      <c r="R30" s="301"/>
      <c r="S30" s="303"/>
      <c r="T30" s="304"/>
    </row>
    <row r="31" spans="1:20" ht="12.75">
      <c r="A31" s="386" t="s">
        <v>16</v>
      </c>
      <c r="B31" s="386">
        <v>3</v>
      </c>
      <c r="C31" s="91" t="s">
        <v>11</v>
      </c>
      <c r="D31" s="117">
        <v>1</v>
      </c>
      <c r="E31" s="91" t="s">
        <v>13</v>
      </c>
      <c r="F31" s="36">
        <v>1400</v>
      </c>
      <c r="G31" s="34">
        <v>540</v>
      </c>
      <c r="H31" s="37">
        <v>150</v>
      </c>
      <c r="I31" s="41">
        <f t="shared" si="1"/>
        <v>0.1134</v>
      </c>
      <c r="J31" s="394">
        <f>I31+I33+I34</f>
        <v>0.33792500000000003</v>
      </c>
      <c r="K31" s="294">
        <v>23.09</v>
      </c>
      <c r="L31" s="295"/>
      <c r="M31" s="80">
        <v>23.09</v>
      </c>
      <c r="N31" s="294">
        <v>23.09</v>
      </c>
      <c r="O31" s="295"/>
      <c r="P31" s="294">
        <f>K31+K33+K34</f>
        <v>78.06</v>
      </c>
      <c r="Q31" s="295"/>
      <c r="R31" s="299">
        <f>M31+M32+M34</f>
        <v>83.85</v>
      </c>
      <c r="S31" s="294">
        <f>N31+N32+N34</f>
        <v>92.91</v>
      </c>
      <c r="T31" s="295"/>
    </row>
    <row r="32" spans="1:20" ht="12.75">
      <c r="A32" s="387"/>
      <c r="B32" s="387"/>
      <c r="C32" s="92" t="s">
        <v>245</v>
      </c>
      <c r="D32" s="382">
        <v>1</v>
      </c>
      <c r="E32" s="94" t="s">
        <v>13</v>
      </c>
      <c r="F32" s="111">
        <v>1520</v>
      </c>
      <c r="G32" s="31">
        <v>620</v>
      </c>
      <c r="H32" s="98">
        <v>40</v>
      </c>
      <c r="I32" s="101">
        <f t="shared" si="1"/>
        <v>0.037696</v>
      </c>
      <c r="J32" s="395"/>
      <c r="K32" s="290" t="s">
        <v>247</v>
      </c>
      <c r="L32" s="291"/>
      <c r="M32" s="114">
        <v>21.49</v>
      </c>
      <c r="N32" s="292">
        <v>30.55</v>
      </c>
      <c r="O32" s="293"/>
      <c r="P32" s="292"/>
      <c r="Q32" s="305"/>
      <c r="R32" s="300"/>
      <c r="S32" s="292"/>
      <c r="T32" s="305"/>
    </row>
    <row r="33" spans="1:20" ht="12.75">
      <c r="A33" s="387"/>
      <c r="B33" s="387"/>
      <c r="C33" s="92" t="s">
        <v>244</v>
      </c>
      <c r="D33" s="382"/>
      <c r="E33" s="120" t="s">
        <v>246</v>
      </c>
      <c r="F33" s="111">
        <v>1550</v>
      </c>
      <c r="G33" s="31">
        <v>650</v>
      </c>
      <c r="H33" s="98">
        <v>70</v>
      </c>
      <c r="I33" s="101">
        <f t="shared" si="1"/>
        <v>0.070525</v>
      </c>
      <c r="J33" s="395"/>
      <c r="K33" s="290">
        <v>15.7</v>
      </c>
      <c r="L33" s="291"/>
      <c r="M33" s="114" t="s">
        <v>247</v>
      </c>
      <c r="N33" s="292">
        <v>30.55</v>
      </c>
      <c r="O33" s="293"/>
      <c r="P33" s="292"/>
      <c r="Q33" s="305"/>
      <c r="R33" s="300"/>
      <c r="S33" s="292"/>
      <c r="T33" s="305"/>
    </row>
    <row r="34" spans="1:20" ht="13.5" thickBot="1">
      <c r="A34" s="391"/>
      <c r="B34" s="391"/>
      <c r="C34" s="124" t="s">
        <v>14</v>
      </c>
      <c r="D34" s="125">
        <v>1</v>
      </c>
      <c r="E34" s="126" t="s">
        <v>46</v>
      </c>
      <c r="F34" s="127">
        <v>1540</v>
      </c>
      <c r="G34" s="51">
        <v>250</v>
      </c>
      <c r="H34" s="107">
        <v>400</v>
      </c>
      <c r="I34" s="108">
        <f t="shared" si="1"/>
        <v>0.154</v>
      </c>
      <c r="J34" s="396"/>
      <c r="K34" s="303">
        <v>39.27</v>
      </c>
      <c r="L34" s="304"/>
      <c r="M34" s="84">
        <v>39.27</v>
      </c>
      <c r="N34" s="303">
        <v>39.27</v>
      </c>
      <c r="O34" s="304"/>
      <c r="P34" s="303"/>
      <c r="Q34" s="304"/>
      <c r="R34" s="301"/>
      <c r="S34" s="303"/>
      <c r="T34" s="304"/>
    </row>
    <row r="35" spans="1:20" ht="12.75">
      <c r="A35" s="386" t="s">
        <v>17</v>
      </c>
      <c r="B35" s="386">
        <v>3</v>
      </c>
      <c r="C35" s="91" t="s">
        <v>11</v>
      </c>
      <c r="D35" s="117">
        <v>1</v>
      </c>
      <c r="E35" s="91" t="s">
        <v>13</v>
      </c>
      <c r="F35" s="36">
        <v>1700</v>
      </c>
      <c r="G35" s="34">
        <v>540</v>
      </c>
      <c r="H35" s="37">
        <v>150</v>
      </c>
      <c r="I35" s="41">
        <f t="shared" si="1"/>
        <v>0.1377</v>
      </c>
      <c r="J35" s="394">
        <f>I35+I37+I38</f>
        <v>0.405875</v>
      </c>
      <c r="K35" s="294">
        <v>24.85</v>
      </c>
      <c r="L35" s="295"/>
      <c r="M35" s="80">
        <v>24.85</v>
      </c>
      <c r="N35" s="294">
        <v>24.85</v>
      </c>
      <c r="O35" s="295"/>
      <c r="P35" s="294">
        <f>K35+K37+K38</f>
        <v>89.09</v>
      </c>
      <c r="Q35" s="295"/>
      <c r="R35" s="299">
        <f>M35+M36+M38</f>
        <v>95.95</v>
      </c>
      <c r="S35" s="294">
        <f>N35+N36+N38</f>
        <v>106.82</v>
      </c>
      <c r="T35" s="295"/>
    </row>
    <row r="36" spans="1:20" ht="12.75">
      <c r="A36" s="387"/>
      <c r="B36" s="387"/>
      <c r="C36" s="92" t="s">
        <v>245</v>
      </c>
      <c r="D36" s="382">
        <v>1</v>
      </c>
      <c r="E36" s="94" t="s">
        <v>13</v>
      </c>
      <c r="F36" s="111">
        <v>1820</v>
      </c>
      <c r="G36" s="31">
        <v>620</v>
      </c>
      <c r="H36" s="98">
        <v>40</v>
      </c>
      <c r="I36" s="101">
        <f t="shared" si="1"/>
        <v>0.045136</v>
      </c>
      <c r="J36" s="395"/>
      <c r="K36" s="290" t="s">
        <v>247</v>
      </c>
      <c r="L36" s="291"/>
      <c r="M36" s="114">
        <v>25.49</v>
      </c>
      <c r="N36" s="292">
        <v>36.36</v>
      </c>
      <c r="O36" s="293"/>
      <c r="P36" s="292"/>
      <c r="Q36" s="305"/>
      <c r="R36" s="300"/>
      <c r="S36" s="292"/>
      <c r="T36" s="305"/>
    </row>
    <row r="37" spans="1:20" ht="12.75">
      <c r="A37" s="387"/>
      <c r="B37" s="387"/>
      <c r="C37" s="92" t="s">
        <v>244</v>
      </c>
      <c r="D37" s="382"/>
      <c r="E37" s="120" t="s">
        <v>246</v>
      </c>
      <c r="F37" s="111">
        <v>1850</v>
      </c>
      <c r="G37" s="31">
        <v>650</v>
      </c>
      <c r="H37" s="98">
        <v>70</v>
      </c>
      <c r="I37" s="101">
        <f t="shared" si="1"/>
        <v>0.084175</v>
      </c>
      <c r="J37" s="395"/>
      <c r="K37" s="290">
        <v>18.63</v>
      </c>
      <c r="L37" s="291"/>
      <c r="M37" s="114" t="s">
        <v>247</v>
      </c>
      <c r="N37" s="292">
        <v>36.36</v>
      </c>
      <c r="O37" s="293"/>
      <c r="P37" s="292"/>
      <c r="Q37" s="305"/>
      <c r="R37" s="300"/>
      <c r="S37" s="292"/>
      <c r="T37" s="305"/>
    </row>
    <row r="38" spans="1:20" ht="13.5" thickBot="1">
      <c r="A38" s="388"/>
      <c r="B38" s="388"/>
      <c r="C38" s="122" t="s">
        <v>14</v>
      </c>
      <c r="D38" s="123">
        <v>1</v>
      </c>
      <c r="E38" s="121" t="s">
        <v>46</v>
      </c>
      <c r="F38" s="119">
        <v>1840</v>
      </c>
      <c r="G38" s="32">
        <v>250</v>
      </c>
      <c r="H38" s="100">
        <v>400</v>
      </c>
      <c r="I38" s="49">
        <f t="shared" si="1"/>
        <v>0.184</v>
      </c>
      <c r="J38" s="397"/>
      <c r="K38" s="306">
        <v>45.61</v>
      </c>
      <c r="L38" s="307"/>
      <c r="M38" s="81">
        <v>45.61</v>
      </c>
      <c r="N38" s="306">
        <v>45.61</v>
      </c>
      <c r="O38" s="307"/>
      <c r="P38" s="306"/>
      <c r="Q38" s="307"/>
      <c r="R38" s="410"/>
      <c r="S38" s="306"/>
      <c r="T38" s="307"/>
    </row>
    <row r="39" ht="13.5" thickBot="1"/>
    <row r="40" spans="1:20" ht="13.5" thickBot="1">
      <c r="A40" s="419" t="s">
        <v>91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8"/>
    </row>
    <row r="41" spans="1:20" ht="13.5" thickBot="1">
      <c r="A41" s="311" t="s">
        <v>3</v>
      </c>
      <c r="B41" s="407" t="s">
        <v>22</v>
      </c>
      <c r="C41" s="389" t="s">
        <v>10</v>
      </c>
      <c r="D41" s="389" t="s">
        <v>23</v>
      </c>
      <c r="E41" s="311" t="s">
        <v>8</v>
      </c>
      <c r="F41" s="313" t="s">
        <v>4</v>
      </c>
      <c r="G41" s="314"/>
      <c r="H41" s="315"/>
      <c r="I41" s="402" t="s">
        <v>87</v>
      </c>
      <c r="J41" s="402" t="s">
        <v>86</v>
      </c>
      <c r="K41" s="276" t="s">
        <v>7</v>
      </c>
      <c r="L41" s="277"/>
      <c r="M41" s="277"/>
      <c r="N41" s="277"/>
      <c r="O41" s="278"/>
      <c r="P41" s="276" t="s">
        <v>77</v>
      </c>
      <c r="Q41" s="277"/>
      <c r="R41" s="277"/>
      <c r="S41" s="277"/>
      <c r="T41" s="278"/>
    </row>
    <row r="42" spans="1:20" ht="13.5" thickBot="1">
      <c r="A42" s="312"/>
      <c r="B42" s="408"/>
      <c r="C42" s="409"/>
      <c r="D42" s="409"/>
      <c r="E42" s="312"/>
      <c r="F42" s="128" t="s">
        <v>72</v>
      </c>
      <c r="G42" s="70" t="s">
        <v>70</v>
      </c>
      <c r="H42" s="129" t="s">
        <v>71</v>
      </c>
      <c r="I42" s="406"/>
      <c r="J42" s="406"/>
      <c r="K42" s="324" t="s">
        <v>180</v>
      </c>
      <c r="L42" s="325"/>
      <c r="M42" s="3" t="s">
        <v>179</v>
      </c>
      <c r="N42" s="308" t="s">
        <v>181</v>
      </c>
      <c r="O42" s="309"/>
      <c r="P42" s="324" t="s">
        <v>180</v>
      </c>
      <c r="Q42" s="325"/>
      <c r="R42" s="3" t="s">
        <v>179</v>
      </c>
      <c r="S42" s="308" t="s">
        <v>181</v>
      </c>
      <c r="T42" s="309"/>
    </row>
    <row r="43" spans="1:20" ht="12.75">
      <c r="A43" s="386" t="s">
        <v>95</v>
      </c>
      <c r="B43" s="386">
        <v>3</v>
      </c>
      <c r="C43" s="91" t="s">
        <v>11</v>
      </c>
      <c r="D43" s="117">
        <v>1</v>
      </c>
      <c r="E43" s="91" t="s">
        <v>13</v>
      </c>
      <c r="F43" s="36">
        <v>830</v>
      </c>
      <c r="G43" s="34">
        <v>540</v>
      </c>
      <c r="H43" s="37">
        <v>150</v>
      </c>
      <c r="I43" s="41">
        <f>F43*G43*H43/1000000000</f>
        <v>0.06723</v>
      </c>
      <c r="J43" s="394">
        <f>I43+I45+I46</f>
        <v>0.384625</v>
      </c>
      <c r="K43" s="294">
        <v>19.41</v>
      </c>
      <c r="L43" s="295"/>
      <c r="M43" s="80">
        <v>19.41</v>
      </c>
      <c r="N43" s="294">
        <v>19.41</v>
      </c>
      <c r="O43" s="295"/>
      <c r="P43" s="294">
        <f>K43+K45+K46</f>
        <v>56</v>
      </c>
      <c r="Q43" s="295"/>
      <c r="R43" s="299">
        <f>M43+M44+M46</f>
        <v>59.25</v>
      </c>
      <c r="S43" s="294">
        <f>N43+N44+N46</f>
        <v>65.41</v>
      </c>
      <c r="T43" s="295"/>
    </row>
    <row r="44" spans="1:20" ht="12.75">
      <c r="A44" s="387"/>
      <c r="B44" s="387"/>
      <c r="C44" s="92" t="s">
        <v>245</v>
      </c>
      <c r="D44" s="382">
        <v>1</v>
      </c>
      <c r="E44" s="94" t="s">
        <v>13</v>
      </c>
      <c r="F44" s="111">
        <v>920</v>
      </c>
      <c r="G44" s="31">
        <v>620</v>
      </c>
      <c r="H44" s="98">
        <v>40</v>
      </c>
      <c r="I44" s="101">
        <f>F44*G44*H44/1000000000</f>
        <v>0.022816</v>
      </c>
      <c r="J44" s="395"/>
      <c r="K44" s="290" t="s">
        <v>247</v>
      </c>
      <c r="L44" s="291"/>
      <c r="M44" s="83">
        <v>12.77</v>
      </c>
      <c r="N44" s="290">
        <v>18.93</v>
      </c>
      <c r="O44" s="302"/>
      <c r="P44" s="292"/>
      <c r="Q44" s="305"/>
      <c r="R44" s="300"/>
      <c r="S44" s="292"/>
      <c r="T44" s="305"/>
    </row>
    <row r="45" spans="1:20" ht="12.75">
      <c r="A45" s="387"/>
      <c r="B45" s="387"/>
      <c r="C45" s="92" t="s">
        <v>244</v>
      </c>
      <c r="D45" s="382"/>
      <c r="E45" s="120" t="s">
        <v>246</v>
      </c>
      <c r="F45" s="111">
        <v>950</v>
      </c>
      <c r="G45" s="31">
        <v>650</v>
      </c>
      <c r="H45" s="98">
        <v>70</v>
      </c>
      <c r="I45" s="101">
        <f>F45*G45*H45/1000000000</f>
        <v>0.043225</v>
      </c>
      <c r="J45" s="395"/>
      <c r="K45" s="290">
        <v>9.52</v>
      </c>
      <c r="L45" s="291"/>
      <c r="M45" s="83" t="s">
        <v>247</v>
      </c>
      <c r="N45" s="290">
        <v>18.93</v>
      </c>
      <c r="O45" s="302"/>
      <c r="P45" s="292"/>
      <c r="Q45" s="305"/>
      <c r="R45" s="300"/>
      <c r="S45" s="292"/>
      <c r="T45" s="305"/>
    </row>
    <row r="46" spans="1:20" ht="13.5" thickBot="1">
      <c r="A46" s="391"/>
      <c r="B46" s="391"/>
      <c r="C46" s="124" t="s">
        <v>14</v>
      </c>
      <c r="D46" s="125">
        <v>1</v>
      </c>
      <c r="E46" s="124" t="s">
        <v>13</v>
      </c>
      <c r="F46" s="127">
        <f>920+30</f>
        <v>950</v>
      </c>
      <c r="G46" s="51">
        <f>340+30</f>
        <v>370</v>
      </c>
      <c r="H46" s="107">
        <f>750+30</f>
        <v>780</v>
      </c>
      <c r="I46" s="108">
        <f>F46*G46*H46/1000000000</f>
        <v>0.27417</v>
      </c>
      <c r="J46" s="396"/>
      <c r="K46" s="303">
        <v>27.07</v>
      </c>
      <c r="L46" s="304"/>
      <c r="M46" s="84">
        <v>27.07</v>
      </c>
      <c r="N46" s="303">
        <v>27.07</v>
      </c>
      <c r="O46" s="304"/>
      <c r="P46" s="303"/>
      <c r="Q46" s="304"/>
      <c r="R46" s="301"/>
      <c r="S46" s="303"/>
      <c r="T46" s="304"/>
    </row>
    <row r="47" spans="1:20" ht="12.75">
      <c r="A47" s="386" t="s">
        <v>73</v>
      </c>
      <c r="B47" s="386">
        <v>3</v>
      </c>
      <c r="C47" s="91" t="s">
        <v>11</v>
      </c>
      <c r="D47" s="117">
        <v>1</v>
      </c>
      <c r="E47" s="91" t="s">
        <v>13</v>
      </c>
      <c r="F47" s="36">
        <v>1100</v>
      </c>
      <c r="G47" s="34">
        <v>540</v>
      </c>
      <c r="H47" s="37">
        <v>150</v>
      </c>
      <c r="I47" s="41">
        <f aca="true" t="shared" si="2" ref="I47:I58">F47*G47*H47/1000000000</f>
        <v>0.0891</v>
      </c>
      <c r="J47" s="394">
        <f>I47+I49+I50</f>
        <v>0.506725</v>
      </c>
      <c r="K47" s="294">
        <v>21.34</v>
      </c>
      <c r="L47" s="295"/>
      <c r="M47" s="80">
        <v>21.34</v>
      </c>
      <c r="N47" s="294">
        <v>21.34</v>
      </c>
      <c r="O47" s="295"/>
      <c r="P47" s="294">
        <f>K47+K49+K50</f>
        <v>65.13</v>
      </c>
      <c r="Q47" s="295"/>
      <c r="R47" s="299">
        <f>M47+M48+M50</f>
        <v>70.2</v>
      </c>
      <c r="S47" s="294">
        <f>N47+N48+N50</f>
        <v>77.45</v>
      </c>
      <c r="T47" s="295"/>
    </row>
    <row r="48" spans="1:20" ht="12.75">
      <c r="A48" s="387"/>
      <c r="B48" s="387"/>
      <c r="C48" s="92" t="s">
        <v>245</v>
      </c>
      <c r="D48" s="382">
        <v>1</v>
      </c>
      <c r="E48" s="94" t="s">
        <v>13</v>
      </c>
      <c r="F48" s="111">
        <v>1220</v>
      </c>
      <c r="G48" s="31">
        <v>620</v>
      </c>
      <c r="H48" s="98">
        <v>40</v>
      </c>
      <c r="I48" s="101">
        <f t="shared" si="2"/>
        <v>0.030256</v>
      </c>
      <c r="J48" s="395"/>
      <c r="K48" s="290" t="s">
        <v>247</v>
      </c>
      <c r="L48" s="291"/>
      <c r="M48" s="83">
        <v>17.49</v>
      </c>
      <c r="N48" s="290">
        <v>24.74</v>
      </c>
      <c r="O48" s="302"/>
      <c r="P48" s="292"/>
      <c r="Q48" s="305"/>
      <c r="R48" s="300"/>
      <c r="S48" s="292"/>
      <c r="T48" s="305"/>
    </row>
    <row r="49" spans="1:20" ht="12.75">
      <c r="A49" s="387"/>
      <c r="B49" s="387"/>
      <c r="C49" s="92" t="s">
        <v>244</v>
      </c>
      <c r="D49" s="382"/>
      <c r="E49" s="120" t="s">
        <v>246</v>
      </c>
      <c r="F49" s="111">
        <v>1250</v>
      </c>
      <c r="G49" s="31">
        <v>650</v>
      </c>
      <c r="H49" s="98">
        <v>70</v>
      </c>
      <c r="I49" s="101">
        <f t="shared" si="2"/>
        <v>0.056875</v>
      </c>
      <c r="J49" s="395"/>
      <c r="K49" s="290">
        <v>12.42</v>
      </c>
      <c r="L49" s="291"/>
      <c r="M49" s="83" t="s">
        <v>247</v>
      </c>
      <c r="N49" s="290">
        <v>24.74</v>
      </c>
      <c r="O49" s="302"/>
      <c r="P49" s="292"/>
      <c r="Q49" s="305"/>
      <c r="R49" s="300"/>
      <c r="S49" s="292"/>
      <c r="T49" s="305"/>
    </row>
    <row r="50" spans="1:20" ht="13.5" thickBot="1">
      <c r="A50" s="391"/>
      <c r="B50" s="391"/>
      <c r="C50" s="124" t="s">
        <v>14</v>
      </c>
      <c r="D50" s="125">
        <v>1</v>
      </c>
      <c r="E50" s="124" t="s">
        <v>13</v>
      </c>
      <c r="F50" s="127">
        <f>1220+30</f>
        <v>1250</v>
      </c>
      <c r="G50" s="51">
        <f>340+30</f>
        <v>370</v>
      </c>
      <c r="H50" s="107">
        <f>750+30</f>
        <v>780</v>
      </c>
      <c r="I50" s="108">
        <f t="shared" si="2"/>
        <v>0.36075</v>
      </c>
      <c r="J50" s="396"/>
      <c r="K50" s="303">
        <v>31.37</v>
      </c>
      <c r="L50" s="304"/>
      <c r="M50" s="84">
        <v>31.37</v>
      </c>
      <c r="N50" s="303">
        <v>31.37</v>
      </c>
      <c r="O50" s="304"/>
      <c r="P50" s="303"/>
      <c r="Q50" s="304"/>
      <c r="R50" s="301"/>
      <c r="S50" s="303"/>
      <c r="T50" s="304"/>
    </row>
    <row r="51" spans="1:20" ht="12.75">
      <c r="A51" s="386" t="s">
        <v>74</v>
      </c>
      <c r="B51" s="386">
        <v>3</v>
      </c>
      <c r="C51" s="91" t="s">
        <v>11</v>
      </c>
      <c r="D51" s="117">
        <v>1</v>
      </c>
      <c r="E51" s="91" t="s">
        <v>13</v>
      </c>
      <c r="F51" s="36">
        <v>1400</v>
      </c>
      <c r="G51" s="34">
        <v>540</v>
      </c>
      <c r="H51" s="37">
        <v>150</v>
      </c>
      <c r="I51" s="41">
        <f t="shared" si="2"/>
        <v>0.1134</v>
      </c>
      <c r="J51" s="394">
        <f>I51+I53+I54</f>
        <v>0.631255</v>
      </c>
      <c r="K51" s="294">
        <v>23.09</v>
      </c>
      <c r="L51" s="295"/>
      <c r="M51" s="80">
        <v>23.09</v>
      </c>
      <c r="N51" s="294">
        <v>23.09</v>
      </c>
      <c r="O51" s="295"/>
      <c r="P51" s="294">
        <f>K51+K53+K54</f>
        <v>79.34</v>
      </c>
      <c r="Q51" s="295"/>
      <c r="R51" s="299">
        <f>M51+M52+M54</f>
        <v>85.13</v>
      </c>
      <c r="S51" s="294">
        <f>N51+N52+N54</f>
        <v>94.19</v>
      </c>
      <c r="T51" s="295"/>
    </row>
    <row r="52" spans="1:20" ht="12.75">
      <c r="A52" s="387"/>
      <c r="B52" s="387"/>
      <c r="C52" s="92" t="s">
        <v>245</v>
      </c>
      <c r="D52" s="382">
        <v>1</v>
      </c>
      <c r="E52" s="94" t="s">
        <v>13</v>
      </c>
      <c r="F52" s="111">
        <v>1520</v>
      </c>
      <c r="G52" s="31">
        <v>620</v>
      </c>
      <c r="H52" s="98">
        <v>40</v>
      </c>
      <c r="I52" s="101">
        <f t="shared" si="2"/>
        <v>0.037696</v>
      </c>
      <c r="J52" s="395"/>
      <c r="K52" s="290" t="s">
        <v>247</v>
      </c>
      <c r="L52" s="291"/>
      <c r="M52" s="114">
        <v>21.49</v>
      </c>
      <c r="N52" s="292">
        <v>30.55</v>
      </c>
      <c r="O52" s="293"/>
      <c r="P52" s="292"/>
      <c r="Q52" s="305"/>
      <c r="R52" s="300"/>
      <c r="S52" s="292"/>
      <c r="T52" s="305"/>
    </row>
    <row r="53" spans="1:20" ht="12.75">
      <c r="A53" s="387"/>
      <c r="B53" s="387"/>
      <c r="C53" s="92" t="s">
        <v>244</v>
      </c>
      <c r="D53" s="382"/>
      <c r="E53" s="120" t="s">
        <v>246</v>
      </c>
      <c r="F53" s="111">
        <v>1550</v>
      </c>
      <c r="G53" s="31">
        <v>650</v>
      </c>
      <c r="H53" s="98">
        <v>70</v>
      </c>
      <c r="I53" s="101">
        <f t="shared" si="2"/>
        <v>0.070525</v>
      </c>
      <c r="J53" s="395"/>
      <c r="K53" s="290">
        <v>15.7</v>
      </c>
      <c r="L53" s="291"/>
      <c r="M53" s="114" t="s">
        <v>247</v>
      </c>
      <c r="N53" s="292">
        <v>30.55</v>
      </c>
      <c r="O53" s="293"/>
      <c r="P53" s="292"/>
      <c r="Q53" s="305"/>
      <c r="R53" s="300"/>
      <c r="S53" s="292"/>
      <c r="T53" s="305"/>
    </row>
    <row r="54" spans="1:20" ht="13.5" thickBot="1">
      <c r="A54" s="391"/>
      <c r="B54" s="391"/>
      <c r="C54" s="124" t="s">
        <v>14</v>
      </c>
      <c r="D54" s="125">
        <v>1</v>
      </c>
      <c r="E54" s="124" t="s">
        <v>13</v>
      </c>
      <c r="F54" s="127">
        <f>1520+30</f>
        <v>1550</v>
      </c>
      <c r="G54" s="51">
        <f>340+30</f>
        <v>370</v>
      </c>
      <c r="H54" s="107">
        <f>750+30</f>
        <v>780</v>
      </c>
      <c r="I54" s="108">
        <f t="shared" si="2"/>
        <v>0.44733</v>
      </c>
      <c r="J54" s="396"/>
      <c r="K54" s="303">
        <v>40.55</v>
      </c>
      <c r="L54" s="304"/>
      <c r="M54" s="84">
        <v>40.55</v>
      </c>
      <c r="N54" s="303">
        <v>40.55</v>
      </c>
      <c r="O54" s="304"/>
      <c r="P54" s="303"/>
      <c r="Q54" s="304"/>
      <c r="R54" s="301"/>
      <c r="S54" s="303"/>
      <c r="T54" s="304"/>
    </row>
    <row r="55" spans="1:20" ht="12.75">
      <c r="A55" s="386" t="s">
        <v>96</v>
      </c>
      <c r="B55" s="386">
        <v>3</v>
      </c>
      <c r="C55" s="91" t="s">
        <v>11</v>
      </c>
      <c r="D55" s="117">
        <v>1</v>
      </c>
      <c r="E55" s="91" t="s">
        <v>13</v>
      </c>
      <c r="F55" s="36">
        <v>1700</v>
      </c>
      <c r="G55" s="34">
        <v>540</v>
      </c>
      <c r="H55" s="37">
        <v>150</v>
      </c>
      <c r="I55" s="41">
        <f t="shared" si="2"/>
        <v>0.1377</v>
      </c>
      <c r="J55" s="394">
        <f>I55+I57+I58</f>
        <v>0.7557849999999999</v>
      </c>
      <c r="K55" s="294">
        <v>24.85</v>
      </c>
      <c r="L55" s="295"/>
      <c r="M55" s="80">
        <v>24.85</v>
      </c>
      <c r="N55" s="294">
        <v>24.85</v>
      </c>
      <c r="O55" s="295"/>
      <c r="P55" s="294">
        <f>K55+K57+K58</f>
        <v>88.9</v>
      </c>
      <c r="Q55" s="295"/>
      <c r="R55" s="299">
        <f>M55+M56+M58</f>
        <v>95.76</v>
      </c>
      <c r="S55" s="294">
        <f>N55+N56+N58</f>
        <v>106.63</v>
      </c>
      <c r="T55" s="295"/>
    </row>
    <row r="56" spans="1:20" ht="12.75">
      <c r="A56" s="387"/>
      <c r="B56" s="387"/>
      <c r="C56" s="92" t="s">
        <v>245</v>
      </c>
      <c r="D56" s="382">
        <v>1</v>
      </c>
      <c r="E56" s="94" t="s">
        <v>13</v>
      </c>
      <c r="F56" s="111">
        <v>1820</v>
      </c>
      <c r="G56" s="31">
        <v>620</v>
      </c>
      <c r="H56" s="98">
        <v>40</v>
      </c>
      <c r="I56" s="101">
        <f t="shared" si="2"/>
        <v>0.045136</v>
      </c>
      <c r="J56" s="395"/>
      <c r="K56" s="290" t="s">
        <v>247</v>
      </c>
      <c r="L56" s="291"/>
      <c r="M56" s="114">
        <v>25.49</v>
      </c>
      <c r="N56" s="292">
        <v>36.36</v>
      </c>
      <c r="O56" s="293"/>
      <c r="P56" s="292"/>
      <c r="Q56" s="305"/>
      <c r="R56" s="300"/>
      <c r="S56" s="292"/>
      <c r="T56" s="305"/>
    </row>
    <row r="57" spans="1:20" ht="12.75">
      <c r="A57" s="387"/>
      <c r="B57" s="387"/>
      <c r="C57" s="92" t="s">
        <v>244</v>
      </c>
      <c r="D57" s="382"/>
      <c r="E57" s="120" t="s">
        <v>246</v>
      </c>
      <c r="F57" s="111">
        <v>1850</v>
      </c>
      <c r="G57" s="31">
        <v>650</v>
      </c>
      <c r="H57" s="98">
        <v>70</v>
      </c>
      <c r="I57" s="101">
        <f t="shared" si="2"/>
        <v>0.084175</v>
      </c>
      <c r="J57" s="395"/>
      <c r="K57" s="290">
        <v>18.63</v>
      </c>
      <c r="L57" s="291"/>
      <c r="M57" s="114" t="s">
        <v>247</v>
      </c>
      <c r="N57" s="292">
        <v>36.36</v>
      </c>
      <c r="O57" s="293"/>
      <c r="P57" s="292"/>
      <c r="Q57" s="305"/>
      <c r="R57" s="300"/>
      <c r="S57" s="292"/>
      <c r="T57" s="305"/>
    </row>
    <row r="58" spans="1:20" ht="13.5" thickBot="1">
      <c r="A58" s="388"/>
      <c r="B58" s="388"/>
      <c r="C58" s="122" t="s">
        <v>14</v>
      </c>
      <c r="D58" s="123">
        <v>1</v>
      </c>
      <c r="E58" s="122" t="s">
        <v>13</v>
      </c>
      <c r="F58" s="119">
        <f>1820+30</f>
        <v>1850</v>
      </c>
      <c r="G58" s="32">
        <f>340+30</f>
        <v>370</v>
      </c>
      <c r="H58" s="100">
        <f>750+30</f>
        <v>780</v>
      </c>
      <c r="I58" s="49">
        <f t="shared" si="2"/>
        <v>0.53391</v>
      </c>
      <c r="J58" s="397"/>
      <c r="K58" s="306">
        <v>45.42</v>
      </c>
      <c r="L58" s="307"/>
      <c r="M58" s="81">
        <v>45.42</v>
      </c>
      <c r="N58" s="306">
        <v>45.42</v>
      </c>
      <c r="O58" s="307"/>
      <c r="P58" s="306"/>
      <c r="Q58" s="307"/>
      <c r="R58" s="410"/>
      <c r="S58" s="306"/>
      <c r="T58" s="307"/>
    </row>
    <row r="59" spans="1:16" ht="13.5" thickBot="1">
      <c r="A59" s="8"/>
      <c r="B59" s="7"/>
      <c r="C59" s="13"/>
      <c r="D59" s="13"/>
      <c r="E59" s="13"/>
      <c r="F59" s="13"/>
      <c r="G59" s="13"/>
      <c r="H59" s="7"/>
      <c r="I59" s="7"/>
      <c r="J59" s="7"/>
      <c r="K59" s="7"/>
      <c r="L59" s="7"/>
      <c r="M59" s="7"/>
      <c r="N59" s="7"/>
      <c r="O59" s="2"/>
      <c r="P59" s="2"/>
    </row>
    <row r="60" spans="1:20" ht="13.5" thickBot="1">
      <c r="A60" s="419" t="s">
        <v>90</v>
      </c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8"/>
    </row>
    <row r="61" spans="1:20" ht="13.5" thickBot="1">
      <c r="A61" s="311" t="s">
        <v>3</v>
      </c>
      <c r="B61" s="311" t="s">
        <v>9</v>
      </c>
      <c r="C61" s="389" t="s">
        <v>10</v>
      </c>
      <c r="D61" s="389" t="s">
        <v>23</v>
      </c>
      <c r="E61" s="311" t="s">
        <v>8</v>
      </c>
      <c r="F61" s="313" t="s">
        <v>4</v>
      </c>
      <c r="G61" s="314"/>
      <c r="H61" s="315"/>
      <c r="I61" s="402" t="s">
        <v>87</v>
      </c>
      <c r="J61" s="402" t="s">
        <v>86</v>
      </c>
      <c r="K61" s="276" t="s">
        <v>7</v>
      </c>
      <c r="L61" s="277"/>
      <c r="M61" s="277"/>
      <c r="N61" s="277"/>
      <c r="O61" s="278"/>
      <c r="P61" s="276" t="s">
        <v>77</v>
      </c>
      <c r="Q61" s="277"/>
      <c r="R61" s="277"/>
      <c r="S61" s="277"/>
      <c r="T61" s="278"/>
    </row>
    <row r="62" spans="1:20" ht="13.5" thickBot="1">
      <c r="A62" s="383"/>
      <c r="B62" s="383"/>
      <c r="C62" s="390"/>
      <c r="D62" s="390"/>
      <c r="E62" s="383"/>
      <c r="F62" s="137" t="s">
        <v>72</v>
      </c>
      <c r="G62" s="69" t="s">
        <v>70</v>
      </c>
      <c r="H62" s="138" t="s">
        <v>71</v>
      </c>
      <c r="I62" s="403"/>
      <c r="J62" s="403"/>
      <c r="K62" s="296" t="s">
        <v>180</v>
      </c>
      <c r="L62" s="297"/>
      <c r="M62" s="10" t="s">
        <v>179</v>
      </c>
      <c r="N62" s="288" t="s">
        <v>181</v>
      </c>
      <c r="O62" s="289"/>
      <c r="P62" s="296" t="s">
        <v>180</v>
      </c>
      <c r="Q62" s="297"/>
      <c r="R62" s="10" t="s">
        <v>179</v>
      </c>
      <c r="S62" s="288" t="s">
        <v>181</v>
      </c>
      <c r="T62" s="289"/>
    </row>
    <row r="63" spans="1:20" ht="12.75">
      <c r="A63" s="346" t="s">
        <v>83</v>
      </c>
      <c r="B63" s="346">
        <v>3</v>
      </c>
      <c r="C63" s="132" t="s">
        <v>11</v>
      </c>
      <c r="D63" s="158">
        <v>1</v>
      </c>
      <c r="E63" s="132" t="s">
        <v>13</v>
      </c>
      <c r="F63" s="36">
        <v>830</v>
      </c>
      <c r="G63" s="34">
        <v>540</v>
      </c>
      <c r="H63" s="37">
        <v>150</v>
      </c>
      <c r="I63" s="139">
        <f aca="true" t="shared" si="3" ref="I63:I78">F63*G63*H63/1000000000</f>
        <v>0.06723</v>
      </c>
      <c r="J63" s="344">
        <f>I63+I65+I66</f>
        <v>0.32203000000000004</v>
      </c>
      <c r="K63" s="269">
        <v>19.41</v>
      </c>
      <c r="L63" s="270"/>
      <c r="M63" s="56">
        <v>19.41</v>
      </c>
      <c r="N63" s="269">
        <v>19.41</v>
      </c>
      <c r="O63" s="270"/>
      <c r="P63" s="269">
        <f>K63+K65+K66</f>
        <v>56.93</v>
      </c>
      <c r="Q63" s="270"/>
      <c r="R63" s="269">
        <f>M63+M64+M66</f>
        <v>61.78</v>
      </c>
      <c r="S63" s="269">
        <f>N63+N64+N66</f>
        <v>70.81</v>
      </c>
      <c r="T63" s="280"/>
    </row>
    <row r="64" spans="1:20" ht="12.75">
      <c r="A64" s="347"/>
      <c r="B64" s="347"/>
      <c r="C64" s="92" t="s">
        <v>245</v>
      </c>
      <c r="D64" s="382">
        <v>1</v>
      </c>
      <c r="E64" s="94" t="s">
        <v>13</v>
      </c>
      <c r="F64" s="111">
        <v>920</v>
      </c>
      <c r="G64" s="31">
        <v>620</v>
      </c>
      <c r="H64" s="98">
        <v>40</v>
      </c>
      <c r="I64" s="101">
        <f>F64*G64*H64/1000000000</f>
        <v>0.022816</v>
      </c>
      <c r="J64" s="342"/>
      <c r="K64" s="265" t="s">
        <v>247</v>
      </c>
      <c r="L64" s="266"/>
      <c r="M64" s="71">
        <v>12.77</v>
      </c>
      <c r="N64" s="265">
        <v>18.93</v>
      </c>
      <c r="O64" s="275"/>
      <c r="P64" s="271"/>
      <c r="Q64" s="279"/>
      <c r="R64" s="271"/>
      <c r="S64" s="271"/>
      <c r="T64" s="281"/>
    </row>
    <row r="65" spans="1:20" ht="12.75">
      <c r="A65" s="348"/>
      <c r="B65" s="348"/>
      <c r="C65" s="92" t="s">
        <v>244</v>
      </c>
      <c r="D65" s="382"/>
      <c r="E65" s="120" t="s">
        <v>246</v>
      </c>
      <c r="F65" s="111">
        <v>950</v>
      </c>
      <c r="G65" s="31">
        <v>650</v>
      </c>
      <c r="H65" s="98">
        <v>70</v>
      </c>
      <c r="I65" s="101">
        <f>F65*G65*H65/1000000000</f>
        <v>0.043225</v>
      </c>
      <c r="J65" s="343"/>
      <c r="K65" s="265">
        <v>9.52</v>
      </c>
      <c r="L65" s="266"/>
      <c r="M65" s="87" t="s">
        <v>247</v>
      </c>
      <c r="N65" s="265">
        <v>18.93</v>
      </c>
      <c r="O65" s="275"/>
      <c r="P65" s="267"/>
      <c r="Q65" s="268"/>
      <c r="R65" s="267"/>
      <c r="S65" s="267"/>
      <c r="T65" s="282"/>
    </row>
    <row r="66" spans="1:20" ht="13.5" thickBot="1">
      <c r="A66" s="349"/>
      <c r="B66" s="349"/>
      <c r="C66" s="142" t="s">
        <v>21</v>
      </c>
      <c r="D66" s="159">
        <v>1</v>
      </c>
      <c r="E66" s="142" t="s">
        <v>13</v>
      </c>
      <c r="F66" s="119">
        <v>910</v>
      </c>
      <c r="G66" s="32">
        <v>310</v>
      </c>
      <c r="H66" s="100">
        <v>750</v>
      </c>
      <c r="I66" s="143">
        <f t="shared" si="3"/>
        <v>0.211575</v>
      </c>
      <c r="J66" s="343"/>
      <c r="K66" s="267">
        <v>28</v>
      </c>
      <c r="L66" s="268"/>
      <c r="M66" s="87">
        <v>29.6</v>
      </c>
      <c r="N66" s="267">
        <v>32.47</v>
      </c>
      <c r="O66" s="268"/>
      <c r="P66" s="267"/>
      <c r="Q66" s="268"/>
      <c r="R66" s="267"/>
      <c r="S66" s="267"/>
      <c r="T66" s="282"/>
    </row>
    <row r="67" spans="1:20" ht="12.75">
      <c r="A67" s="404" t="s">
        <v>18</v>
      </c>
      <c r="B67" s="392">
        <v>3</v>
      </c>
      <c r="C67" s="132" t="s">
        <v>11</v>
      </c>
      <c r="D67" s="158">
        <v>1</v>
      </c>
      <c r="E67" s="91" t="s">
        <v>13</v>
      </c>
      <c r="F67" s="36">
        <v>1100</v>
      </c>
      <c r="G67" s="34">
        <v>540</v>
      </c>
      <c r="H67" s="50">
        <v>150</v>
      </c>
      <c r="I67" s="144">
        <f t="shared" si="3"/>
        <v>0.0891</v>
      </c>
      <c r="J67" s="344">
        <f>I67+I69+I70</f>
        <v>0.4273</v>
      </c>
      <c r="K67" s="269">
        <v>21.34</v>
      </c>
      <c r="L67" s="270"/>
      <c r="M67" s="56">
        <v>21.34</v>
      </c>
      <c r="N67" s="269">
        <v>21.34</v>
      </c>
      <c r="O67" s="270"/>
      <c r="P67" s="269">
        <f>K67+K69+K70</f>
        <v>66.8</v>
      </c>
      <c r="Q67" s="270"/>
      <c r="R67" s="269">
        <f>M67+M68+M70</f>
        <v>73.87</v>
      </c>
      <c r="S67" s="269">
        <f>N67+N68+N70</f>
        <v>84.93</v>
      </c>
      <c r="T67" s="280"/>
    </row>
    <row r="68" spans="1:20" ht="12.75">
      <c r="A68" s="387"/>
      <c r="B68" s="347"/>
      <c r="C68" s="92" t="s">
        <v>245</v>
      </c>
      <c r="D68" s="382">
        <v>1</v>
      </c>
      <c r="E68" s="94" t="s">
        <v>13</v>
      </c>
      <c r="F68" s="111">
        <v>1220</v>
      </c>
      <c r="G68" s="31">
        <v>620</v>
      </c>
      <c r="H68" s="98">
        <v>40</v>
      </c>
      <c r="I68" s="101">
        <f t="shared" si="3"/>
        <v>0.030256</v>
      </c>
      <c r="J68" s="342"/>
      <c r="K68" s="265" t="s">
        <v>247</v>
      </c>
      <c r="L68" s="266"/>
      <c r="M68" s="71">
        <v>17.49</v>
      </c>
      <c r="N68" s="265">
        <v>24.74</v>
      </c>
      <c r="O68" s="275"/>
      <c r="P68" s="271"/>
      <c r="Q68" s="279"/>
      <c r="R68" s="271"/>
      <c r="S68" s="271"/>
      <c r="T68" s="281"/>
    </row>
    <row r="69" spans="1:20" ht="12.75">
      <c r="A69" s="391"/>
      <c r="B69" s="348"/>
      <c r="C69" s="92" t="s">
        <v>244</v>
      </c>
      <c r="D69" s="382"/>
      <c r="E69" s="120" t="s">
        <v>246</v>
      </c>
      <c r="F69" s="111">
        <v>1250</v>
      </c>
      <c r="G69" s="31">
        <v>650</v>
      </c>
      <c r="H69" s="98">
        <v>70</v>
      </c>
      <c r="I69" s="101">
        <f t="shared" si="3"/>
        <v>0.056875</v>
      </c>
      <c r="J69" s="343"/>
      <c r="K69" s="265">
        <v>12.42</v>
      </c>
      <c r="L69" s="266"/>
      <c r="M69" s="87" t="s">
        <v>247</v>
      </c>
      <c r="N69" s="265">
        <v>24.74</v>
      </c>
      <c r="O69" s="275"/>
      <c r="P69" s="267"/>
      <c r="Q69" s="268"/>
      <c r="R69" s="267"/>
      <c r="S69" s="267"/>
      <c r="T69" s="282"/>
    </row>
    <row r="70" spans="1:20" ht="13.5" thickBot="1">
      <c r="A70" s="388"/>
      <c r="B70" s="349"/>
      <c r="C70" s="142" t="s">
        <v>21</v>
      </c>
      <c r="D70" s="159">
        <v>1</v>
      </c>
      <c r="E70" s="124" t="s">
        <v>13</v>
      </c>
      <c r="F70" s="136">
        <v>1210</v>
      </c>
      <c r="G70" s="33">
        <v>310</v>
      </c>
      <c r="H70" s="73">
        <v>750</v>
      </c>
      <c r="I70" s="147">
        <f t="shared" si="3"/>
        <v>0.281325</v>
      </c>
      <c r="J70" s="343"/>
      <c r="K70" s="284">
        <v>33.04</v>
      </c>
      <c r="L70" s="285"/>
      <c r="M70" s="76">
        <v>35.04</v>
      </c>
      <c r="N70" s="267">
        <v>38.85</v>
      </c>
      <c r="O70" s="268"/>
      <c r="P70" s="267"/>
      <c r="Q70" s="268"/>
      <c r="R70" s="267"/>
      <c r="S70" s="267"/>
      <c r="T70" s="282"/>
    </row>
    <row r="71" spans="1:20" ht="12.75">
      <c r="A71" s="386" t="s">
        <v>19</v>
      </c>
      <c r="B71" s="346">
        <v>3</v>
      </c>
      <c r="C71" s="132" t="s">
        <v>11</v>
      </c>
      <c r="D71" s="158">
        <v>1</v>
      </c>
      <c r="E71" s="91" t="s">
        <v>13</v>
      </c>
      <c r="F71" s="36">
        <v>1400</v>
      </c>
      <c r="G71" s="34">
        <v>540</v>
      </c>
      <c r="H71" s="50">
        <v>150</v>
      </c>
      <c r="I71" s="144">
        <f t="shared" si="3"/>
        <v>0.1134</v>
      </c>
      <c r="J71" s="344">
        <f>I71+I73+I74</f>
        <v>0.535</v>
      </c>
      <c r="K71" s="269">
        <v>23.09</v>
      </c>
      <c r="L71" s="270"/>
      <c r="M71" s="56">
        <v>23.09</v>
      </c>
      <c r="N71" s="269">
        <v>23.09</v>
      </c>
      <c r="O71" s="270"/>
      <c r="P71" s="269">
        <f>K71+K73+K74</f>
        <v>76.81</v>
      </c>
      <c r="Q71" s="270"/>
      <c r="R71" s="269">
        <f>M71+M72+M74</f>
        <v>85.11</v>
      </c>
      <c r="S71" s="269">
        <f>N71+N72+N74</f>
        <v>98.92</v>
      </c>
      <c r="T71" s="280"/>
    </row>
    <row r="72" spans="1:20" ht="12.75">
      <c r="A72" s="387"/>
      <c r="B72" s="347"/>
      <c r="C72" s="92" t="s">
        <v>245</v>
      </c>
      <c r="D72" s="382">
        <v>1</v>
      </c>
      <c r="E72" s="94" t="s">
        <v>13</v>
      </c>
      <c r="F72" s="111">
        <v>1520</v>
      </c>
      <c r="G72" s="31">
        <v>620</v>
      </c>
      <c r="H72" s="98">
        <v>40</v>
      </c>
      <c r="I72" s="101">
        <f t="shared" si="3"/>
        <v>0.037696</v>
      </c>
      <c r="J72" s="342"/>
      <c r="K72" s="265" t="s">
        <v>247</v>
      </c>
      <c r="L72" s="266"/>
      <c r="M72" s="148">
        <v>21.49</v>
      </c>
      <c r="N72" s="271">
        <v>30.55</v>
      </c>
      <c r="O72" s="272"/>
      <c r="P72" s="271"/>
      <c r="Q72" s="279"/>
      <c r="R72" s="271"/>
      <c r="S72" s="271"/>
      <c r="T72" s="281"/>
    </row>
    <row r="73" spans="1:20" ht="12.75">
      <c r="A73" s="391"/>
      <c r="B73" s="348"/>
      <c r="C73" s="92" t="s">
        <v>244</v>
      </c>
      <c r="D73" s="382"/>
      <c r="E73" s="120" t="s">
        <v>246</v>
      </c>
      <c r="F73" s="111">
        <v>1550</v>
      </c>
      <c r="G73" s="31">
        <v>650</v>
      </c>
      <c r="H73" s="98">
        <v>70</v>
      </c>
      <c r="I73" s="101">
        <f t="shared" si="3"/>
        <v>0.070525</v>
      </c>
      <c r="J73" s="343"/>
      <c r="K73" s="265">
        <v>15.7</v>
      </c>
      <c r="L73" s="266"/>
      <c r="M73" s="76" t="s">
        <v>247</v>
      </c>
      <c r="N73" s="271">
        <v>30.55</v>
      </c>
      <c r="O73" s="272"/>
      <c r="P73" s="267"/>
      <c r="Q73" s="268"/>
      <c r="R73" s="267"/>
      <c r="S73" s="267"/>
      <c r="T73" s="282"/>
    </row>
    <row r="74" spans="1:20" ht="13.5" thickBot="1">
      <c r="A74" s="388"/>
      <c r="B74" s="349"/>
      <c r="C74" s="142" t="s">
        <v>21</v>
      </c>
      <c r="D74" s="159">
        <v>1</v>
      </c>
      <c r="E74" s="124" t="s">
        <v>13</v>
      </c>
      <c r="F74" s="136">
        <v>1510</v>
      </c>
      <c r="G74" s="33">
        <v>310</v>
      </c>
      <c r="H74" s="73">
        <v>750</v>
      </c>
      <c r="I74" s="147">
        <f t="shared" si="3"/>
        <v>0.351075</v>
      </c>
      <c r="J74" s="343"/>
      <c r="K74" s="284">
        <v>38.02</v>
      </c>
      <c r="L74" s="285"/>
      <c r="M74" s="87">
        <v>40.53</v>
      </c>
      <c r="N74" s="267">
        <v>45.28</v>
      </c>
      <c r="O74" s="268"/>
      <c r="P74" s="267"/>
      <c r="Q74" s="268"/>
      <c r="R74" s="267"/>
      <c r="S74" s="267"/>
      <c r="T74" s="282"/>
    </row>
    <row r="75" spans="1:20" ht="12.75">
      <c r="A75" s="386" t="s">
        <v>20</v>
      </c>
      <c r="B75" s="346">
        <v>3</v>
      </c>
      <c r="C75" s="91" t="s">
        <v>11</v>
      </c>
      <c r="D75" s="160">
        <v>1</v>
      </c>
      <c r="E75" s="152" t="s">
        <v>13</v>
      </c>
      <c r="F75" s="150">
        <v>1700</v>
      </c>
      <c r="G75" s="34">
        <v>540</v>
      </c>
      <c r="H75" s="37">
        <v>150</v>
      </c>
      <c r="I75" s="41">
        <f t="shared" si="3"/>
        <v>0.1377</v>
      </c>
      <c r="J75" s="350">
        <f>I75+I77+I78</f>
        <v>0.6427</v>
      </c>
      <c r="K75" s="270">
        <v>24.85</v>
      </c>
      <c r="L75" s="280"/>
      <c r="M75" s="58">
        <v>24.85</v>
      </c>
      <c r="N75" s="270">
        <v>24.85</v>
      </c>
      <c r="O75" s="280"/>
      <c r="P75" s="270">
        <f>K75+K77+K78</f>
        <v>86.2</v>
      </c>
      <c r="Q75" s="280"/>
      <c r="R75" s="280">
        <f>M75+M76+M78</f>
        <v>96.09</v>
      </c>
      <c r="S75" s="270">
        <f>N75+N76+N78</f>
        <v>112.65</v>
      </c>
      <c r="T75" s="280"/>
    </row>
    <row r="76" spans="1:20" ht="12.75">
      <c r="A76" s="387"/>
      <c r="B76" s="347"/>
      <c r="C76" s="92" t="s">
        <v>245</v>
      </c>
      <c r="D76" s="382">
        <v>1</v>
      </c>
      <c r="E76" s="94" t="s">
        <v>13</v>
      </c>
      <c r="F76" s="111">
        <v>1820</v>
      </c>
      <c r="G76" s="31">
        <v>620</v>
      </c>
      <c r="H76" s="98">
        <v>40</v>
      </c>
      <c r="I76" s="101">
        <f t="shared" si="3"/>
        <v>0.045136</v>
      </c>
      <c r="J76" s="351"/>
      <c r="K76" s="266" t="s">
        <v>247</v>
      </c>
      <c r="L76" s="445"/>
      <c r="M76" s="149">
        <v>25.49</v>
      </c>
      <c r="N76" s="279">
        <v>36.36</v>
      </c>
      <c r="O76" s="362"/>
      <c r="P76" s="279"/>
      <c r="Q76" s="281"/>
      <c r="R76" s="281"/>
      <c r="S76" s="279"/>
      <c r="T76" s="281"/>
    </row>
    <row r="77" spans="1:20" ht="12.75">
      <c r="A77" s="391"/>
      <c r="B77" s="348"/>
      <c r="C77" s="92" t="s">
        <v>244</v>
      </c>
      <c r="D77" s="382"/>
      <c r="E77" s="120" t="s">
        <v>246</v>
      </c>
      <c r="F77" s="111">
        <v>1850</v>
      </c>
      <c r="G77" s="31">
        <v>650</v>
      </c>
      <c r="H77" s="98">
        <v>70</v>
      </c>
      <c r="I77" s="101">
        <f t="shared" si="3"/>
        <v>0.084175</v>
      </c>
      <c r="J77" s="405"/>
      <c r="K77" s="266">
        <v>18.63</v>
      </c>
      <c r="L77" s="445"/>
      <c r="M77" s="157" t="s">
        <v>247</v>
      </c>
      <c r="N77" s="279">
        <v>36.36</v>
      </c>
      <c r="O77" s="362"/>
      <c r="P77" s="268"/>
      <c r="Q77" s="282"/>
      <c r="R77" s="282"/>
      <c r="S77" s="268"/>
      <c r="T77" s="282"/>
    </row>
    <row r="78" spans="1:20" ht="13.5" thickBot="1">
      <c r="A78" s="388"/>
      <c r="B78" s="349"/>
      <c r="C78" s="122" t="s">
        <v>21</v>
      </c>
      <c r="D78" s="161">
        <v>1</v>
      </c>
      <c r="E78" s="153" t="s">
        <v>13</v>
      </c>
      <c r="F78" s="135">
        <v>1810</v>
      </c>
      <c r="G78" s="33">
        <v>310</v>
      </c>
      <c r="H78" s="63">
        <v>750</v>
      </c>
      <c r="I78" s="49">
        <f t="shared" si="3"/>
        <v>0.420825</v>
      </c>
      <c r="J78" s="352"/>
      <c r="K78" s="287">
        <v>42.72</v>
      </c>
      <c r="L78" s="298"/>
      <c r="M78" s="59">
        <v>45.75</v>
      </c>
      <c r="N78" s="274">
        <v>51.44</v>
      </c>
      <c r="O78" s="283"/>
      <c r="P78" s="274"/>
      <c r="Q78" s="283"/>
      <c r="R78" s="283"/>
      <c r="S78" s="274"/>
      <c r="T78" s="283"/>
    </row>
    <row r="79" ht="13.5" thickBot="1"/>
    <row r="80" spans="1:20" ht="13.5" thickBot="1">
      <c r="A80" s="363" t="s">
        <v>30</v>
      </c>
      <c r="B80" s="364"/>
      <c r="C80" s="364"/>
      <c r="D80" s="364"/>
      <c r="E80" s="364"/>
      <c r="F80" s="377"/>
      <c r="G80" s="377"/>
      <c r="H80" s="377"/>
      <c r="I80" s="364"/>
      <c r="J80" s="364"/>
      <c r="K80" s="377"/>
      <c r="L80" s="377"/>
      <c r="M80" s="377"/>
      <c r="N80" s="377"/>
      <c r="O80" s="377"/>
      <c r="P80" s="377"/>
      <c r="Q80" s="377"/>
      <c r="R80" s="377"/>
      <c r="S80" s="377"/>
      <c r="T80" s="378"/>
    </row>
    <row r="81" spans="1:20" ht="13.5" thickBot="1">
      <c r="A81" s="313" t="s">
        <v>3</v>
      </c>
      <c r="B81" s="313" t="s">
        <v>9</v>
      </c>
      <c r="C81" s="313" t="s">
        <v>10</v>
      </c>
      <c r="D81" s="313" t="s">
        <v>23</v>
      </c>
      <c r="E81" s="311" t="s">
        <v>8</v>
      </c>
      <c r="F81" s="313" t="s">
        <v>4</v>
      </c>
      <c r="G81" s="314"/>
      <c r="H81" s="314"/>
      <c r="I81" s="327" t="s">
        <v>87</v>
      </c>
      <c r="J81" s="379" t="s">
        <v>86</v>
      </c>
      <c r="K81" s="276" t="s">
        <v>7</v>
      </c>
      <c r="L81" s="277"/>
      <c r="M81" s="277"/>
      <c r="N81" s="277"/>
      <c r="O81" s="278"/>
      <c r="P81" s="276" t="s">
        <v>77</v>
      </c>
      <c r="Q81" s="277"/>
      <c r="R81" s="277"/>
      <c r="S81" s="277"/>
      <c r="T81" s="278"/>
    </row>
    <row r="82" spans="1:20" ht="13.5" thickBot="1">
      <c r="A82" s="329"/>
      <c r="B82" s="329"/>
      <c r="C82" s="329"/>
      <c r="D82" s="329"/>
      <c r="E82" s="383"/>
      <c r="F82" s="128" t="s">
        <v>72</v>
      </c>
      <c r="G82" s="70" t="s">
        <v>70</v>
      </c>
      <c r="H82" s="130" t="s">
        <v>71</v>
      </c>
      <c r="I82" s="358"/>
      <c r="J82" s="380"/>
      <c r="K82" s="296" t="s">
        <v>180</v>
      </c>
      <c r="L82" s="297"/>
      <c r="M82" s="10" t="s">
        <v>179</v>
      </c>
      <c r="N82" s="288" t="s">
        <v>181</v>
      </c>
      <c r="O82" s="289"/>
      <c r="P82" s="296" t="s">
        <v>180</v>
      </c>
      <c r="Q82" s="297"/>
      <c r="R82" s="10" t="s">
        <v>179</v>
      </c>
      <c r="S82" s="288" t="s">
        <v>181</v>
      </c>
      <c r="T82" s="289"/>
    </row>
    <row r="83" spans="1:20" ht="12.75">
      <c r="A83" s="346" t="s">
        <v>84</v>
      </c>
      <c r="B83" s="346">
        <v>5</v>
      </c>
      <c r="C83" s="132" t="s">
        <v>11</v>
      </c>
      <c r="D83" s="158">
        <v>2</v>
      </c>
      <c r="E83" s="91" t="s">
        <v>13</v>
      </c>
      <c r="F83" s="36">
        <v>830</v>
      </c>
      <c r="G83" s="34">
        <v>540</v>
      </c>
      <c r="H83" s="37">
        <v>150</v>
      </c>
      <c r="I83" s="144">
        <f aca="true" t="shared" si="4" ref="I83:I98">F83*G83*H83/1000000000</f>
        <v>0.06723</v>
      </c>
      <c r="J83" s="344">
        <f>I83*2+I85*2+I86</f>
        <v>0.432485</v>
      </c>
      <c r="K83" s="269">
        <v>38.82</v>
      </c>
      <c r="L83" s="270"/>
      <c r="M83" s="56">
        <v>38.82</v>
      </c>
      <c r="N83" s="269">
        <v>38.82</v>
      </c>
      <c r="O83" s="270"/>
      <c r="P83" s="269">
        <f>K83+K85+K86</f>
        <v>87.78</v>
      </c>
      <c r="Q83" s="270"/>
      <c r="R83" s="269">
        <f>M83+M84+M86</f>
        <v>94.81</v>
      </c>
      <c r="S83" s="269">
        <f>N83+N84+N86</f>
        <v>110.19</v>
      </c>
      <c r="T83" s="280"/>
    </row>
    <row r="84" spans="1:20" ht="12.75">
      <c r="A84" s="347"/>
      <c r="B84" s="347"/>
      <c r="C84" s="92" t="s">
        <v>245</v>
      </c>
      <c r="D84" s="382">
        <v>2</v>
      </c>
      <c r="E84" s="94" t="s">
        <v>13</v>
      </c>
      <c r="F84" s="111">
        <v>920</v>
      </c>
      <c r="G84" s="31">
        <v>620</v>
      </c>
      <c r="H84" s="98">
        <v>40</v>
      </c>
      <c r="I84" s="101">
        <f>F84*G84*H84/1000000000</f>
        <v>0.022816</v>
      </c>
      <c r="J84" s="342"/>
      <c r="K84" s="271" t="s">
        <v>247</v>
      </c>
      <c r="L84" s="279"/>
      <c r="M84" s="71">
        <f>M104*2</f>
        <v>25.54</v>
      </c>
      <c r="N84" s="271">
        <f>19*2</f>
        <v>38</v>
      </c>
      <c r="O84" s="279"/>
      <c r="P84" s="271"/>
      <c r="Q84" s="279"/>
      <c r="R84" s="271"/>
      <c r="S84" s="271"/>
      <c r="T84" s="281"/>
    </row>
    <row r="85" spans="1:20" ht="12.75">
      <c r="A85" s="348"/>
      <c r="B85" s="348"/>
      <c r="C85" s="92" t="s">
        <v>244</v>
      </c>
      <c r="D85" s="382"/>
      <c r="E85" s="120" t="s">
        <v>246</v>
      </c>
      <c r="F85" s="111">
        <v>950</v>
      </c>
      <c r="G85" s="31">
        <v>650</v>
      </c>
      <c r="H85" s="98">
        <v>70</v>
      </c>
      <c r="I85" s="101">
        <f>F85*G85*H85/1000000000</f>
        <v>0.043225</v>
      </c>
      <c r="J85" s="343"/>
      <c r="K85" s="271">
        <f>10*2</f>
        <v>20</v>
      </c>
      <c r="L85" s="279"/>
      <c r="M85" s="87" t="s">
        <v>247</v>
      </c>
      <c r="N85" s="271">
        <f>19*2</f>
        <v>38</v>
      </c>
      <c r="O85" s="279"/>
      <c r="P85" s="267"/>
      <c r="Q85" s="268"/>
      <c r="R85" s="267"/>
      <c r="S85" s="267"/>
      <c r="T85" s="282"/>
    </row>
    <row r="86" spans="1:20" ht="13.5" thickBot="1">
      <c r="A86" s="348"/>
      <c r="B86" s="348"/>
      <c r="C86" s="142" t="s">
        <v>21</v>
      </c>
      <c r="D86" s="159">
        <v>1</v>
      </c>
      <c r="E86" s="124" t="s">
        <v>13</v>
      </c>
      <c r="F86" s="136">
        <v>910</v>
      </c>
      <c r="G86" s="33">
        <v>310</v>
      </c>
      <c r="H86" s="63">
        <v>750</v>
      </c>
      <c r="I86" s="147">
        <f t="shared" si="4"/>
        <v>0.211575</v>
      </c>
      <c r="J86" s="343"/>
      <c r="K86" s="267">
        <v>28.96</v>
      </c>
      <c r="L86" s="268"/>
      <c r="M86" s="87">
        <v>30.45</v>
      </c>
      <c r="N86" s="267">
        <v>33.37</v>
      </c>
      <c r="O86" s="268"/>
      <c r="P86" s="267"/>
      <c r="Q86" s="268"/>
      <c r="R86" s="267"/>
      <c r="S86" s="267"/>
      <c r="T86" s="282"/>
    </row>
    <row r="87" spans="1:20" ht="12.75">
      <c r="A87" s="346" t="s">
        <v>67</v>
      </c>
      <c r="B87" s="346">
        <v>5</v>
      </c>
      <c r="C87" s="132" t="s">
        <v>11</v>
      </c>
      <c r="D87" s="158">
        <v>2</v>
      </c>
      <c r="E87" s="91" t="s">
        <v>13</v>
      </c>
      <c r="F87" s="36">
        <v>1100</v>
      </c>
      <c r="G87" s="34">
        <v>540</v>
      </c>
      <c r="H87" s="50">
        <v>150</v>
      </c>
      <c r="I87" s="144">
        <f t="shared" si="4"/>
        <v>0.0891</v>
      </c>
      <c r="J87" s="344">
        <f>I87*2+I89*2+I90</f>
        <v>0.573275</v>
      </c>
      <c r="K87" s="269">
        <v>42.68</v>
      </c>
      <c r="L87" s="270"/>
      <c r="M87" s="56">
        <v>42.68</v>
      </c>
      <c r="N87" s="269">
        <v>42.68</v>
      </c>
      <c r="O87" s="270"/>
      <c r="P87" s="269">
        <f>K87+K89+K90</f>
        <v>100.57000000000001</v>
      </c>
      <c r="Q87" s="270"/>
      <c r="R87" s="269">
        <f>M87+M88+M90</f>
        <v>113.55</v>
      </c>
      <c r="S87" s="269">
        <f>N87+N88+N90</f>
        <v>132.38</v>
      </c>
      <c r="T87" s="280"/>
    </row>
    <row r="88" spans="1:20" ht="12.75">
      <c r="A88" s="347"/>
      <c r="B88" s="347"/>
      <c r="C88" s="92" t="s">
        <v>245</v>
      </c>
      <c r="D88" s="382">
        <v>2</v>
      </c>
      <c r="E88" s="94" t="s">
        <v>13</v>
      </c>
      <c r="F88" s="111">
        <v>1220</v>
      </c>
      <c r="G88" s="31">
        <v>620</v>
      </c>
      <c r="H88" s="98">
        <v>40</v>
      </c>
      <c r="I88" s="101">
        <f t="shared" si="4"/>
        <v>0.030256</v>
      </c>
      <c r="J88" s="342"/>
      <c r="K88" s="271" t="s">
        <v>247</v>
      </c>
      <c r="L88" s="279"/>
      <c r="M88" s="71">
        <f>M108*2</f>
        <v>34.98</v>
      </c>
      <c r="N88" s="271">
        <f>25*2</f>
        <v>50</v>
      </c>
      <c r="O88" s="279"/>
      <c r="P88" s="271"/>
      <c r="Q88" s="279"/>
      <c r="R88" s="271"/>
      <c r="S88" s="271"/>
      <c r="T88" s="281"/>
    </row>
    <row r="89" spans="1:20" ht="12.75">
      <c r="A89" s="348"/>
      <c r="B89" s="348"/>
      <c r="C89" s="92" t="s">
        <v>244</v>
      </c>
      <c r="D89" s="382"/>
      <c r="E89" s="120" t="s">
        <v>246</v>
      </c>
      <c r="F89" s="111">
        <v>1250</v>
      </c>
      <c r="G89" s="31">
        <v>650</v>
      </c>
      <c r="H89" s="98">
        <v>70</v>
      </c>
      <c r="I89" s="101">
        <f t="shared" si="4"/>
        <v>0.056875</v>
      </c>
      <c r="J89" s="343"/>
      <c r="K89" s="271">
        <f>12*2</f>
        <v>24</v>
      </c>
      <c r="L89" s="279"/>
      <c r="M89" s="87" t="s">
        <v>247</v>
      </c>
      <c r="N89" s="271">
        <f>25*2</f>
        <v>50</v>
      </c>
      <c r="O89" s="279"/>
      <c r="P89" s="267"/>
      <c r="Q89" s="268"/>
      <c r="R89" s="267"/>
      <c r="S89" s="267"/>
      <c r="T89" s="282"/>
    </row>
    <row r="90" spans="1:20" ht="13.5" thickBot="1">
      <c r="A90" s="348"/>
      <c r="B90" s="348"/>
      <c r="C90" s="142" t="s">
        <v>21</v>
      </c>
      <c r="D90" s="159">
        <v>1</v>
      </c>
      <c r="E90" s="124" t="s">
        <v>13</v>
      </c>
      <c r="F90" s="136">
        <v>1210</v>
      </c>
      <c r="G90" s="33">
        <v>310</v>
      </c>
      <c r="H90" s="73">
        <v>750</v>
      </c>
      <c r="I90" s="147">
        <f t="shared" si="4"/>
        <v>0.281325</v>
      </c>
      <c r="J90" s="343"/>
      <c r="K90" s="284">
        <v>33.89</v>
      </c>
      <c r="L90" s="285"/>
      <c r="M90" s="87">
        <v>35.89</v>
      </c>
      <c r="N90" s="284">
        <v>39.7</v>
      </c>
      <c r="O90" s="466"/>
      <c r="P90" s="267"/>
      <c r="Q90" s="268"/>
      <c r="R90" s="267"/>
      <c r="S90" s="267"/>
      <c r="T90" s="282"/>
    </row>
    <row r="91" spans="1:20" ht="12.75">
      <c r="A91" s="346" t="s">
        <v>68</v>
      </c>
      <c r="B91" s="346">
        <v>5</v>
      </c>
      <c r="C91" s="132" t="s">
        <v>11</v>
      </c>
      <c r="D91" s="158">
        <v>2</v>
      </c>
      <c r="E91" s="91" t="s">
        <v>13</v>
      </c>
      <c r="F91" s="36">
        <v>1400</v>
      </c>
      <c r="G91" s="34">
        <v>540</v>
      </c>
      <c r="H91" s="50">
        <v>150</v>
      </c>
      <c r="I91" s="144">
        <f t="shared" si="4"/>
        <v>0.1134</v>
      </c>
      <c r="J91" s="344">
        <f>I91*2+I93*2+I94</f>
        <v>0.718925</v>
      </c>
      <c r="K91" s="269">
        <v>46.18</v>
      </c>
      <c r="L91" s="270"/>
      <c r="M91" s="56">
        <v>46.18</v>
      </c>
      <c r="N91" s="269">
        <v>46.18</v>
      </c>
      <c r="O91" s="270"/>
      <c r="P91" s="269">
        <f>K91+K93+K94</f>
        <v>117.05000000000001</v>
      </c>
      <c r="Q91" s="280"/>
      <c r="R91" s="280">
        <f>M91+M92+M94</f>
        <v>129.69</v>
      </c>
      <c r="S91" s="270">
        <f>N91+N92+N94</f>
        <v>149.56</v>
      </c>
      <c r="T91" s="280"/>
    </row>
    <row r="92" spans="1:20" ht="12.75">
      <c r="A92" s="347"/>
      <c r="B92" s="347"/>
      <c r="C92" s="92" t="s">
        <v>245</v>
      </c>
      <c r="D92" s="382">
        <v>2</v>
      </c>
      <c r="E92" s="94" t="s">
        <v>13</v>
      </c>
      <c r="F92" s="111">
        <v>1520</v>
      </c>
      <c r="G92" s="31">
        <v>620</v>
      </c>
      <c r="H92" s="98">
        <v>40</v>
      </c>
      <c r="I92" s="101">
        <f t="shared" si="4"/>
        <v>0.037696</v>
      </c>
      <c r="J92" s="342"/>
      <c r="K92" s="271" t="s">
        <v>247</v>
      </c>
      <c r="L92" s="279"/>
      <c r="M92" s="71">
        <f>M112*2</f>
        <v>42.98</v>
      </c>
      <c r="N92" s="271">
        <f>31*2</f>
        <v>62</v>
      </c>
      <c r="O92" s="279"/>
      <c r="P92" s="271"/>
      <c r="Q92" s="281"/>
      <c r="R92" s="281"/>
      <c r="S92" s="279"/>
      <c r="T92" s="281"/>
    </row>
    <row r="93" spans="1:20" ht="12.75">
      <c r="A93" s="348"/>
      <c r="B93" s="348"/>
      <c r="C93" s="92" t="s">
        <v>244</v>
      </c>
      <c r="D93" s="382"/>
      <c r="E93" s="120" t="s">
        <v>246</v>
      </c>
      <c r="F93" s="111">
        <v>1550</v>
      </c>
      <c r="G93" s="31">
        <v>650</v>
      </c>
      <c r="H93" s="98">
        <v>70</v>
      </c>
      <c r="I93" s="101">
        <f t="shared" si="4"/>
        <v>0.070525</v>
      </c>
      <c r="J93" s="343"/>
      <c r="K93" s="271">
        <f>16*2</f>
        <v>32</v>
      </c>
      <c r="L93" s="279"/>
      <c r="M93" s="87" t="s">
        <v>247</v>
      </c>
      <c r="N93" s="271">
        <f>31*2</f>
        <v>62</v>
      </c>
      <c r="O93" s="279"/>
      <c r="P93" s="267"/>
      <c r="Q93" s="282"/>
      <c r="R93" s="282"/>
      <c r="S93" s="268"/>
      <c r="T93" s="282"/>
    </row>
    <row r="94" spans="1:20" ht="13.5" thickBot="1">
      <c r="A94" s="348"/>
      <c r="B94" s="348"/>
      <c r="C94" s="142" t="s">
        <v>21</v>
      </c>
      <c r="D94" s="159">
        <v>1</v>
      </c>
      <c r="E94" s="124" t="s">
        <v>13</v>
      </c>
      <c r="F94" s="136">
        <v>1510</v>
      </c>
      <c r="G94" s="33">
        <v>310</v>
      </c>
      <c r="H94" s="73">
        <v>750</v>
      </c>
      <c r="I94" s="147">
        <f t="shared" si="4"/>
        <v>0.351075</v>
      </c>
      <c r="J94" s="343"/>
      <c r="K94" s="284">
        <v>38.87</v>
      </c>
      <c r="L94" s="285"/>
      <c r="M94" s="87">
        <v>40.53</v>
      </c>
      <c r="N94" s="267">
        <v>41.38</v>
      </c>
      <c r="O94" s="268"/>
      <c r="P94" s="267"/>
      <c r="Q94" s="282"/>
      <c r="R94" s="282"/>
      <c r="S94" s="268"/>
      <c r="T94" s="282"/>
    </row>
    <row r="95" spans="1:20" ht="12.75">
      <c r="A95" s="346" t="s">
        <v>69</v>
      </c>
      <c r="B95" s="346">
        <v>5</v>
      </c>
      <c r="C95" s="132" t="s">
        <v>11</v>
      </c>
      <c r="D95" s="158">
        <v>2</v>
      </c>
      <c r="E95" s="91" t="s">
        <v>13</v>
      </c>
      <c r="F95" s="36">
        <v>1700</v>
      </c>
      <c r="G95" s="34">
        <v>540</v>
      </c>
      <c r="H95" s="50">
        <v>150</v>
      </c>
      <c r="I95" s="144">
        <f t="shared" si="4"/>
        <v>0.1377</v>
      </c>
      <c r="J95" s="344">
        <f>I95*2+I97*2+I98</f>
        <v>0.864575</v>
      </c>
      <c r="K95" s="269">
        <v>49.7</v>
      </c>
      <c r="L95" s="270"/>
      <c r="M95" s="56">
        <v>49.7</v>
      </c>
      <c r="N95" s="269">
        <v>49.7</v>
      </c>
      <c r="O95" s="270"/>
      <c r="P95" s="269">
        <f>K95+K97+K98</f>
        <v>131.27</v>
      </c>
      <c r="Q95" s="270"/>
      <c r="R95" s="269">
        <f>M95+M96+M98</f>
        <v>147.28</v>
      </c>
      <c r="S95" s="269">
        <f>N95+N96+N98</f>
        <v>173.97</v>
      </c>
      <c r="T95" s="280"/>
    </row>
    <row r="96" spans="1:20" ht="12.75">
      <c r="A96" s="347"/>
      <c r="B96" s="347"/>
      <c r="C96" s="92" t="s">
        <v>245</v>
      </c>
      <c r="D96" s="382">
        <v>2</v>
      </c>
      <c r="E96" s="94" t="s">
        <v>13</v>
      </c>
      <c r="F96" s="111">
        <v>1820</v>
      </c>
      <c r="G96" s="31">
        <v>620</v>
      </c>
      <c r="H96" s="98">
        <v>40</v>
      </c>
      <c r="I96" s="101">
        <f t="shared" si="4"/>
        <v>0.045136</v>
      </c>
      <c r="J96" s="342"/>
      <c r="K96" s="271" t="s">
        <v>247</v>
      </c>
      <c r="L96" s="279"/>
      <c r="M96" s="71">
        <f>M116*2</f>
        <v>50.98</v>
      </c>
      <c r="N96" s="271">
        <f>36*2</f>
        <v>72</v>
      </c>
      <c r="O96" s="279"/>
      <c r="P96" s="271"/>
      <c r="Q96" s="279"/>
      <c r="R96" s="271"/>
      <c r="S96" s="271"/>
      <c r="T96" s="281"/>
    </row>
    <row r="97" spans="1:20" ht="12.75">
      <c r="A97" s="348"/>
      <c r="B97" s="348"/>
      <c r="C97" s="92" t="s">
        <v>244</v>
      </c>
      <c r="D97" s="382"/>
      <c r="E97" s="120" t="s">
        <v>246</v>
      </c>
      <c r="F97" s="111">
        <v>1850</v>
      </c>
      <c r="G97" s="31">
        <v>650</v>
      </c>
      <c r="H97" s="98">
        <v>70</v>
      </c>
      <c r="I97" s="101">
        <f t="shared" si="4"/>
        <v>0.084175</v>
      </c>
      <c r="J97" s="343"/>
      <c r="K97" s="271">
        <f>19*2</f>
        <v>38</v>
      </c>
      <c r="L97" s="279"/>
      <c r="M97" s="87" t="s">
        <v>247</v>
      </c>
      <c r="N97" s="271">
        <f>36*2</f>
        <v>72</v>
      </c>
      <c r="O97" s="279"/>
      <c r="P97" s="267"/>
      <c r="Q97" s="268"/>
      <c r="R97" s="267"/>
      <c r="S97" s="267"/>
      <c r="T97" s="282"/>
    </row>
    <row r="98" spans="1:20" ht="13.5" thickBot="1">
      <c r="A98" s="349"/>
      <c r="B98" s="349"/>
      <c r="C98" s="134" t="s">
        <v>21</v>
      </c>
      <c r="D98" s="162">
        <v>1</v>
      </c>
      <c r="E98" s="122" t="s">
        <v>13</v>
      </c>
      <c r="F98" s="136">
        <v>1810</v>
      </c>
      <c r="G98" s="33">
        <v>310</v>
      </c>
      <c r="H98" s="73">
        <v>750</v>
      </c>
      <c r="I98" s="146">
        <f t="shared" si="4"/>
        <v>0.420825</v>
      </c>
      <c r="J98" s="345"/>
      <c r="K98" s="286">
        <v>43.57</v>
      </c>
      <c r="L98" s="287"/>
      <c r="M98" s="57">
        <v>46.6</v>
      </c>
      <c r="N98" s="273">
        <v>52.27</v>
      </c>
      <c r="O98" s="274"/>
      <c r="P98" s="273"/>
      <c r="Q98" s="274"/>
      <c r="R98" s="273"/>
      <c r="S98" s="273"/>
      <c r="T98" s="283"/>
    </row>
    <row r="99" ht="13.5" thickBot="1"/>
    <row r="100" spans="1:20" ht="13.5" thickBot="1">
      <c r="A100" s="316" t="s">
        <v>89</v>
      </c>
      <c r="B100" s="317"/>
      <c r="C100" s="317"/>
      <c r="D100" s="317"/>
      <c r="E100" s="317"/>
      <c r="F100" s="318"/>
      <c r="G100" s="318"/>
      <c r="H100" s="318"/>
      <c r="I100" s="317"/>
      <c r="J100" s="317"/>
      <c r="K100" s="318"/>
      <c r="L100" s="318"/>
      <c r="M100" s="318"/>
      <c r="N100" s="318"/>
      <c r="O100" s="318"/>
      <c r="P100" s="318"/>
      <c r="Q100" s="318"/>
      <c r="R100" s="318"/>
      <c r="S100" s="318"/>
      <c r="T100" s="319"/>
    </row>
    <row r="101" spans="1:20" ht="13.5" thickBot="1">
      <c r="A101" s="313" t="s">
        <v>3</v>
      </c>
      <c r="B101" s="330" t="s">
        <v>22</v>
      </c>
      <c r="C101" s="313" t="s">
        <v>10</v>
      </c>
      <c r="D101" s="313" t="s">
        <v>23</v>
      </c>
      <c r="E101" s="311" t="s">
        <v>8</v>
      </c>
      <c r="F101" s="313" t="s">
        <v>4</v>
      </c>
      <c r="G101" s="314"/>
      <c r="H101" s="314"/>
      <c r="I101" s="327" t="s">
        <v>87</v>
      </c>
      <c r="J101" s="379" t="s">
        <v>86</v>
      </c>
      <c r="K101" s="276" t="s">
        <v>7</v>
      </c>
      <c r="L101" s="277"/>
      <c r="M101" s="277"/>
      <c r="N101" s="277"/>
      <c r="O101" s="278"/>
      <c r="P101" s="276" t="s">
        <v>77</v>
      </c>
      <c r="Q101" s="277"/>
      <c r="R101" s="277"/>
      <c r="S101" s="277"/>
      <c r="T101" s="278"/>
    </row>
    <row r="102" spans="1:20" ht="13.5" thickBot="1">
      <c r="A102" s="337"/>
      <c r="B102" s="338"/>
      <c r="C102" s="337"/>
      <c r="D102" s="337"/>
      <c r="E102" s="312"/>
      <c r="F102" s="128" t="s">
        <v>72</v>
      </c>
      <c r="G102" s="70" t="s">
        <v>70</v>
      </c>
      <c r="H102" s="130" t="s">
        <v>71</v>
      </c>
      <c r="I102" s="358"/>
      <c r="J102" s="447"/>
      <c r="K102" s="417" t="s">
        <v>180</v>
      </c>
      <c r="L102" s="418"/>
      <c r="M102" s="22" t="s">
        <v>179</v>
      </c>
      <c r="N102" s="420" t="s">
        <v>181</v>
      </c>
      <c r="O102" s="421"/>
      <c r="P102" s="417" t="s">
        <v>180</v>
      </c>
      <c r="Q102" s="418"/>
      <c r="R102" s="22" t="s">
        <v>179</v>
      </c>
      <c r="S102" s="420" t="s">
        <v>181</v>
      </c>
      <c r="T102" s="421"/>
    </row>
    <row r="103" spans="1:20" ht="12.75">
      <c r="A103" s="392" t="s">
        <v>85</v>
      </c>
      <c r="B103" s="392">
        <v>3</v>
      </c>
      <c r="C103" s="165" t="s">
        <v>11</v>
      </c>
      <c r="D103" s="167">
        <v>1</v>
      </c>
      <c r="E103" s="166" t="s">
        <v>13</v>
      </c>
      <c r="F103" s="36">
        <v>830</v>
      </c>
      <c r="G103" s="34">
        <v>540</v>
      </c>
      <c r="H103" s="50">
        <v>150</v>
      </c>
      <c r="I103" s="154">
        <f aca="true" t="shared" si="5" ref="I103:I118">F103*G103*H103/1000000000</f>
        <v>0.06723</v>
      </c>
      <c r="J103" s="341">
        <f>I103+I105+I106</f>
        <v>0.12708</v>
      </c>
      <c r="K103" s="269">
        <v>19.41</v>
      </c>
      <c r="L103" s="270"/>
      <c r="M103" s="56">
        <v>19.41</v>
      </c>
      <c r="N103" s="269">
        <v>19.41</v>
      </c>
      <c r="O103" s="280"/>
      <c r="P103" s="270">
        <f>K103+K105+K106</f>
        <v>34.93</v>
      </c>
      <c r="Q103" s="270"/>
      <c r="R103" s="269">
        <f>M103+M104+M106</f>
        <v>38.18</v>
      </c>
      <c r="S103" s="269">
        <f>N103+N104+N106</f>
        <v>44.34</v>
      </c>
      <c r="T103" s="280"/>
    </row>
    <row r="104" spans="1:20" ht="12.75">
      <c r="A104" s="347"/>
      <c r="B104" s="347"/>
      <c r="C104" s="163" t="s">
        <v>245</v>
      </c>
      <c r="D104" s="384">
        <v>1</v>
      </c>
      <c r="E104" s="94" t="s">
        <v>13</v>
      </c>
      <c r="F104" s="111">
        <v>920</v>
      </c>
      <c r="G104" s="31">
        <v>620</v>
      </c>
      <c r="H104" s="113">
        <v>40</v>
      </c>
      <c r="I104" s="145">
        <f>F104*G104*H104/1000000000</f>
        <v>0.022816</v>
      </c>
      <c r="J104" s="342"/>
      <c r="K104" s="265" t="s">
        <v>247</v>
      </c>
      <c r="L104" s="266"/>
      <c r="M104" s="71">
        <v>12.77</v>
      </c>
      <c r="N104" s="265">
        <v>18.93</v>
      </c>
      <c r="O104" s="381"/>
      <c r="P104" s="279"/>
      <c r="Q104" s="279"/>
      <c r="R104" s="271"/>
      <c r="S104" s="271"/>
      <c r="T104" s="281"/>
    </row>
    <row r="105" spans="1:20" ht="12.75">
      <c r="A105" s="347"/>
      <c r="B105" s="347"/>
      <c r="C105" s="163" t="s">
        <v>244</v>
      </c>
      <c r="D105" s="384"/>
      <c r="E105" s="120" t="s">
        <v>246</v>
      </c>
      <c r="F105" s="111">
        <v>950</v>
      </c>
      <c r="G105" s="31">
        <v>650</v>
      </c>
      <c r="H105" s="113">
        <v>70</v>
      </c>
      <c r="I105" s="145">
        <f>F105*G105*H105/1000000000</f>
        <v>0.043225</v>
      </c>
      <c r="J105" s="342"/>
      <c r="K105" s="265">
        <v>9.52</v>
      </c>
      <c r="L105" s="266"/>
      <c r="M105" s="71" t="s">
        <v>247</v>
      </c>
      <c r="N105" s="265">
        <v>18.93</v>
      </c>
      <c r="O105" s="381"/>
      <c r="P105" s="279"/>
      <c r="Q105" s="279"/>
      <c r="R105" s="271"/>
      <c r="S105" s="271"/>
      <c r="T105" s="281"/>
    </row>
    <row r="106" spans="1:20" ht="13.5" thickBot="1">
      <c r="A106" s="348"/>
      <c r="B106" s="348"/>
      <c r="C106" s="142" t="s">
        <v>14</v>
      </c>
      <c r="D106" s="159">
        <v>1</v>
      </c>
      <c r="E106" s="124" t="s">
        <v>13</v>
      </c>
      <c r="F106" s="119">
        <f>920+30</f>
        <v>950</v>
      </c>
      <c r="G106" s="32">
        <f>220+30</f>
        <v>250</v>
      </c>
      <c r="H106" s="39">
        <v>70</v>
      </c>
      <c r="I106" s="147">
        <f t="shared" si="5"/>
        <v>0.016625</v>
      </c>
      <c r="J106" s="343"/>
      <c r="K106" s="267">
        <v>6</v>
      </c>
      <c r="L106" s="268"/>
      <c r="M106" s="87">
        <v>6</v>
      </c>
      <c r="N106" s="267">
        <v>6</v>
      </c>
      <c r="O106" s="393"/>
      <c r="P106" s="268"/>
      <c r="Q106" s="268"/>
      <c r="R106" s="267"/>
      <c r="S106" s="267"/>
      <c r="T106" s="282"/>
    </row>
    <row r="107" spans="1:20" ht="12.75">
      <c r="A107" s="346" t="s">
        <v>32</v>
      </c>
      <c r="B107" s="346">
        <v>3</v>
      </c>
      <c r="C107" s="132" t="s">
        <v>11</v>
      </c>
      <c r="D107" s="158">
        <v>1</v>
      </c>
      <c r="E107" s="91" t="s">
        <v>13</v>
      </c>
      <c r="F107" s="36">
        <v>1100</v>
      </c>
      <c r="G107" s="34">
        <v>540</v>
      </c>
      <c r="H107" s="50">
        <v>150</v>
      </c>
      <c r="I107" s="144">
        <f t="shared" si="5"/>
        <v>0.0891</v>
      </c>
      <c r="J107" s="344">
        <f>I107+I109+I110</f>
        <v>0.16785</v>
      </c>
      <c r="K107" s="269">
        <v>21.34</v>
      </c>
      <c r="L107" s="270"/>
      <c r="M107" s="56">
        <v>21.34</v>
      </c>
      <c r="N107" s="269">
        <v>21.34</v>
      </c>
      <c r="O107" s="280"/>
      <c r="P107" s="270">
        <f>K107+K109+K110</f>
        <v>41.55</v>
      </c>
      <c r="Q107" s="270"/>
      <c r="R107" s="269">
        <f>M107+M108+M110</f>
        <v>46.62</v>
      </c>
      <c r="S107" s="269">
        <f>N107+N108+N110</f>
        <v>53.87</v>
      </c>
      <c r="T107" s="280"/>
    </row>
    <row r="108" spans="1:20" ht="12.75">
      <c r="A108" s="347"/>
      <c r="B108" s="347"/>
      <c r="C108" s="163" t="s">
        <v>245</v>
      </c>
      <c r="D108" s="384">
        <v>1</v>
      </c>
      <c r="E108" s="94" t="s">
        <v>13</v>
      </c>
      <c r="F108" s="111">
        <v>1220</v>
      </c>
      <c r="G108" s="31">
        <v>620</v>
      </c>
      <c r="H108" s="113">
        <v>40</v>
      </c>
      <c r="I108" s="145">
        <f t="shared" si="5"/>
        <v>0.030256</v>
      </c>
      <c r="J108" s="342"/>
      <c r="K108" s="265" t="s">
        <v>247</v>
      </c>
      <c r="L108" s="266"/>
      <c r="M108" s="71">
        <v>17.49</v>
      </c>
      <c r="N108" s="265">
        <v>24.74</v>
      </c>
      <c r="O108" s="381"/>
      <c r="P108" s="279"/>
      <c r="Q108" s="279"/>
      <c r="R108" s="271"/>
      <c r="S108" s="271"/>
      <c r="T108" s="281"/>
    </row>
    <row r="109" spans="1:20" ht="12.75">
      <c r="A109" s="347"/>
      <c r="B109" s="347"/>
      <c r="C109" s="163" t="s">
        <v>244</v>
      </c>
      <c r="D109" s="384"/>
      <c r="E109" s="120" t="s">
        <v>246</v>
      </c>
      <c r="F109" s="111">
        <v>1250</v>
      </c>
      <c r="G109" s="31">
        <v>650</v>
      </c>
      <c r="H109" s="113">
        <v>70</v>
      </c>
      <c r="I109" s="145">
        <f t="shared" si="5"/>
        <v>0.056875</v>
      </c>
      <c r="J109" s="342"/>
      <c r="K109" s="265">
        <v>12.42</v>
      </c>
      <c r="L109" s="266"/>
      <c r="M109" s="71" t="s">
        <v>247</v>
      </c>
      <c r="N109" s="265">
        <v>24.74</v>
      </c>
      <c r="O109" s="381"/>
      <c r="P109" s="279"/>
      <c r="Q109" s="279"/>
      <c r="R109" s="271"/>
      <c r="S109" s="271"/>
      <c r="T109" s="281"/>
    </row>
    <row r="110" spans="1:20" ht="13.5" thickBot="1">
      <c r="A110" s="348"/>
      <c r="B110" s="348"/>
      <c r="C110" s="142" t="s">
        <v>14</v>
      </c>
      <c r="D110" s="159">
        <v>1</v>
      </c>
      <c r="E110" s="124" t="s">
        <v>13</v>
      </c>
      <c r="F110" s="119">
        <f>1220+30</f>
        <v>1250</v>
      </c>
      <c r="G110" s="32">
        <f>220+30</f>
        <v>250</v>
      </c>
      <c r="H110" s="39">
        <v>70</v>
      </c>
      <c r="I110" s="147">
        <f t="shared" si="5"/>
        <v>0.021875</v>
      </c>
      <c r="J110" s="343"/>
      <c r="K110" s="267">
        <v>7.79</v>
      </c>
      <c r="L110" s="268"/>
      <c r="M110" s="87">
        <v>7.79</v>
      </c>
      <c r="N110" s="267">
        <v>7.79</v>
      </c>
      <c r="O110" s="393"/>
      <c r="P110" s="268"/>
      <c r="Q110" s="268"/>
      <c r="R110" s="267"/>
      <c r="S110" s="267"/>
      <c r="T110" s="282"/>
    </row>
    <row r="111" spans="1:20" ht="12.75">
      <c r="A111" s="346" t="s">
        <v>33</v>
      </c>
      <c r="B111" s="346">
        <v>3</v>
      </c>
      <c r="C111" s="132" t="s">
        <v>11</v>
      </c>
      <c r="D111" s="158">
        <v>1</v>
      </c>
      <c r="E111" s="91" t="s">
        <v>13</v>
      </c>
      <c r="F111" s="36">
        <v>1400</v>
      </c>
      <c r="G111" s="34">
        <v>540</v>
      </c>
      <c r="H111" s="50">
        <v>150</v>
      </c>
      <c r="I111" s="144">
        <f t="shared" si="5"/>
        <v>0.1134</v>
      </c>
      <c r="J111" s="344">
        <f>I111+I113+I114</f>
        <v>0.21105000000000002</v>
      </c>
      <c r="K111" s="269">
        <v>23.09</v>
      </c>
      <c r="L111" s="270"/>
      <c r="M111" s="56">
        <v>23.09</v>
      </c>
      <c r="N111" s="269">
        <v>23.09</v>
      </c>
      <c r="O111" s="280"/>
      <c r="P111" s="270">
        <f>K111+K113+K114</f>
        <v>47.66</v>
      </c>
      <c r="Q111" s="270"/>
      <c r="R111" s="269">
        <f>M111+M112+M114</f>
        <v>53.449999999999996</v>
      </c>
      <c r="S111" s="269">
        <f>N111+N112+N114</f>
        <v>62.51</v>
      </c>
      <c r="T111" s="280"/>
    </row>
    <row r="112" spans="1:20" ht="12.75">
      <c r="A112" s="347"/>
      <c r="B112" s="347"/>
      <c r="C112" s="163" t="s">
        <v>245</v>
      </c>
      <c r="D112" s="384">
        <v>1</v>
      </c>
      <c r="E112" s="94" t="s">
        <v>13</v>
      </c>
      <c r="F112" s="111">
        <v>1520</v>
      </c>
      <c r="G112" s="31">
        <v>620</v>
      </c>
      <c r="H112" s="113">
        <v>40</v>
      </c>
      <c r="I112" s="145">
        <f t="shared" si="5"/>
        <v>0.037696</v>
      </c>
      <c r="J112" s="342"/>
      <c r="K112" s="265" t="s">
        <v>247</v>
      </c>
      <c r="L112" s="266"/>
      <c r="M112" s="148">
        <v>21.49</v>
      </c>
      <c r="N112" s="271">
        <v>30.55</v>
      </c>
      <c r="O112" s="362"/>
      <c r="P112" s="279"/>
      <c r="Q112" s="279"/>
      <c r="R112" s="271"/>
      <c r="S112" s="271"/>
      <c r="T112" s="281"/>
    </row>
    <row r="113" spans="1:20" ht="12.75">
      <c r="A113" s="347"/>
      <c r="B113" s="347"/>
      <c r="C113" s="163" t="s">
        <v>244</v>
      </c>
      <c r="D113" s="384"/>
      <c r="E113" s="120" t="s">
        <v>246</v>
      </c>
      <c r="F113" s="111">
        <v>1550</v>
      </c>
      <c r="G113" s="31">
        <v>650</v>
      </c>
      <c r="H113" s="113">
        <v>70</v>
      </c>
      <c r="I113" s="145">
        <f t="shared" si="5"/>
        <v>0.070525</v>
      </c>
      <c r="J113" s="342"/>
      <c r="K113" s="265">
        <v>15.7</v>
      </c>
      <c r="L113" s="266"/>
      <c r="M113" s="148" t="s">
        <v>247</v>
      </c>
      <c r="N113" s="271">
        <v>30.55</v>
      </c>
      <c r="O113" s="362"/>
      <c r="P113" s="279"/>
      <c r="Q113" s="279"/>
      <c r="R113" s="271"/>
      <c r="S113" s="271"/>
      <c r="T113" s="281"/>
    </row>
    <row r="114" spans="1:20" ht="13.5" thickBot="1">
      <c r="A114" s="348"/>
      <c r="B114" s="348"/>
      <c r="C114" s="142" t="s">
        <v>14</v>
      </c>
      <c r="D114" s="159">
        <v>1</v>
      </c>
      <c r="E114" s="124" t="s">
        <v>13</v>
      </c>
      <c r="F114" s="119">
        <f>1520+30</f>
        <v>1550</v>
      </c>
      <c r="G114" s="32">
        <f>220+30</f>
        <v>250</v>
      </c>
      <c r="H114" s="39">
        <v>70</v>
      </c>
      <c r="I114" s="147">
        <f t="shared" si="5"/>
        <v>0.027125</v>
      </c>
      <c r="J114" s="343"/>
      <c r="K114" s="267">
        <v>8.87</v>
      </c>
      <c r="L114" s="268"/>
      <c r="M114" s="87">
        <v>8.87</v>
      </c>
      <c r="N114" s="267">
        <v>8.87</v>
      </c>
      <c r="O114" s="393"/>
      <c r="P114" s="268"/>
      <c r="Q114" s="268"/>
      <c r="R114" s="267"/>
      <c r="S114" s="267"/>
      <c r="T114" s="282"/>
    </row>
    <row r="115" spans="1:20" ht="12.75">
      <c r="A115" s="346" t="s">
        <v>34</v>
      </c>
      <c r="B115" s="346">
        <v>3</v>
      </c>
      <c r="C115" s="132" t="s">
        <v>11</v>
      </c>
      <c r="D115" s="158">
        <v>1</v>
      </c>
      <c r="E115" s="91" t="s">
        <v>13</v>
      </c>
      <c r="F115" s="36">
        <v>1700</v>
      </c>
      <c r="G115" s="34">
        <v>540</v>
      </c>
      <c r="H115" s="50">
        <v>150</v>
      </c>
      <c r="I115" s="144">
        <f t="shared" si="5"/>
        <v>0.1377</v>
      </c>
      <c r="J115" s="344">
        <f>I115+I117+I118</f>
        <v>0.25425</v>
      </c>
      <c r="K115" s="269">
        <v>24.85</v>
      </c>
      <c r="L115" s="270"/>
      <c r="M115" s="56">
        <v>24.85</v>
      </c>
      <c r="N115" s="269">
        <v>24.85</v>
      </c>
      <c r="O115" s="280"/>
      <c r="P115" s="270">
        <f>K115+K117+K118</f>
        <v>53.42</v>
      </c>
      <c r="Q115" s="270"/>
      <c r="R115" s="269">
        <f>M115+M116+M118</f>
        <v>60.28</v>
      </c>
      <c r="S115" s="269">
        <f>N115+N116+N118</f>
        <v>71.15</v>
      </c>
      <c r="T115" s="280"/>
    </row>
    <row r="116" spans="1:20" ht="12.75">
      <c r="A116" s="347"/>
      <c r="B116" s="347"/>
      <c r="C116" s="163" t="s">
        <v>245</v>
      </c>
      <c r="D116" s="384">
        <v>1</v>
      </c>
      <c r="E116" s="94" t="s">
        <v>13</v>
      </c>
      <c r="F116" s="111">
        <v>1820</v>
      </c>
      <c r="G116" s="31">
        <v>620</v>
      </c>
      <c r="H116" s="113">
        <v>40</v>
      </c>
      <c r="I116" s="145">
        <f t="shared" si="5"/>
        <v>0.045136</v>
      </c>
      <c r="J116" s="342"/>
      <c r="K116" s="265" t="s">
        <v>247</v>
      </c>
      <c r="L116" s="266"/>
      <c r="M116" s="148">
        <v>25.49</v>
      </c>
      <c r="N116" s="271">
        <v>36.36</v>
      </c>
      <c r="O116" s="362"/>
      <c r="P116" s="279"/>
      <c r="Q116" s="279"/>
      <c r="R116" s="271"/>
      <c r="S116" s="271"/>
      <c r="T116" s="281"/>
    </row>
    <row r="117" spans="1:20" ht="12.75">
      <c r="A117" s="347"/>
      <c r="B117" s="347"/>
      <c r="C117" s="163" t="s">
        <v>244</v>
      </c>
      <c r="D117" s="384"/>
      <c r="E117" s="120" t="s">
        <v>246</v>
      </c>
      <c r="F117" s="111">
        <v>1850</v>
      </c>
      <c r="G117" s="31">
        <v>650</v>
      </c>
      <c r="H117" s="113">
        <v>70</v>
      </c>
      <c r="I117" s="145">
        <f t="shared" si="5"/>
        <v>0.084175</v>
      </c>
      <c r="J117" s="342"/>
      <c r="K117" s="265">
        <v>18.63</v>
      </c>
      <c r="L117" s="266"/>
      <c r="M117" s="148" t="s">
        <v>247</v>
      </c>
      <c r="N117" s="271">
        <v>36.36</v>
      </c>
      <c r="O117" s="362"/>
      <c r="P117" s="279"/>
      <c r="Q117" s="279"/>
      <c r="R117" s="271"/>
      <c r="S117" s="271"/>
      <c r="T117" s="281"/>
    </row>
    <row r="118" spans="1:20" ht="13.5" thickBot="1">
      <c r="A118" s="349"/>
      <c r="B118" s="349"/>
      <c r="C118" s="134" t="s">
        <v>14</v>
      </c>
      <c r="D118" s="162">
        <v>1</v>
      </c>
      <c r="E118" s="122" t="s">
        <v>13</v>
      </c>
      <c r="F118" s="119">
        <f>1820+30</f>
        <v>1850</v>
      </c>
      <c r="G118" s="32">
        <f>220+30</f>
        <v>250</v>
      </c>
      <c r="H118" s="39">
        <v>70</v>
      </c>
      <c r="I118" s="146">
        <f t="shared" si="5"/>
        <v>0.032375</v>
      </c>
      <c r="J118" s="345"/>
      <c r="K118" s="273">
        <v>9.94</v>
      </c>
      <c r="L118" s="274"/>
      <c r="M118" s="57">
        <v>9.94</v>
      </c>
      <c r="N118" s="273">
        <v>9.94</v>
      </c>
      <c r="O118" s="446"/>
      <c r="P118" s="274"/>
      <c r="Q118" s="274"/>
      <c r="R118" s="273"/>
      <c r="S118" s="273"/>
      <c r="T118" s="283"/>
    </row>
    <row r="119" spans="1:20" ht="13.5" thickBot="1">
      <c r="A119" s="7"/>
      <c r="B119" s="7"/>
      <c r="C119" s="13"/>
      <c r="D119" s="13"/>
      <c r="E119" s="13"/>
      <c r="F119" s="13"/>
      <c r="G119" s="13"/>
      <c r="H119" s="7"/>
      <c r="I119" s="9"/>
      <c r="J119" s="7"/>
      <c r="K119" s="7"/>
      <c r="L119" s="7"/>
      <c r="M119" s="7"/>
      <c r="N119" s="7"/>
      <c r="O119" s="13"/>
      <c r="P119" s="4"/>
      <c r="Q119" s="4"/>
      <c r="R119" s="4"/>
      <c r="S119" s="4"/>
      <c r="T119" s="4"/>
    </row>
    <row r="120" spans="1:20" ht="13.5" thickBot="1">
      <c r="A120" s="316" t="s">
        <v>183</v>
      </c>
      <c r="B120" s="317"/>
      <c r="C120" s="317"/>
      <c r="D120" s="317"/>
      <c r="E120" s="317"/>
      <c r="F120" s="318"/>
      <c r="G120" s="318"/>
      <c r="H120" s="318"/>
      <c r="I120" s="317"/>
      <c r="J120" s="317"/>
      <c r="K120" s="318"/>
      <c r="L120" s="318"/>
      <c r="M120" s="318"/>
      <c r="N120" s="318"/>
      <c r="O120" s="318"/>
      <c r="P120" s="318"/>
      <c r="Q120" s="318"/>
      <c r="R120" s="318"/>
      <c r="S120" s="318"/>
      <c r="T120" s="319"/>
    </row>
    <row r="121" spans="1:20" ht="13.5" thickBot="1">
      <c r="A121" s="313" t="s">
        <v>3</v>
      </c>
      <c r="B121" s="330" t="s">
        <v>22</v>
      </c>
      <c r="C121" s="313" t="s">
        <v>10</v>
      </c>
      <c r="D121" s="313" t="s">
        <v>23</v>
      </c>
      <c r="E121" s="311" t="s">
        <v>8</v>
      </c>
      <c r="F121" s="313" t="s">
        <v>4</v>
      </c>
      <c r="G121" s="314"/>
      <c r="H121" s="314"/>
      <c r="I121" s="327" t="s">
        <v>87</v>
      </c>
      <c r="J121" s="379" t="s">
        <v>86</v>
      </c>
      <c r="K121" s="276" t="s">
        <v>7</v>
      </c>
      <c r="L121" s="277"/>
      <c r="M121" s="277"/>
      <c r="N121" s="277"/>
      <c r="O121" s="278"/>
      <c r="P121" s="320" t="s">
        <v>77</v>
      </c>
      <c r="Q121" s="321"/>
      <c r="R121" s="321"/>
      <c r="S121" s="321"/>
      <c r="T121" s="322"/>
    </row>
    <row r="122" spans="1:20" ht="13.5" thickBot="1">
      <c r="A122" s="329"/>
      <c r="B122" s="331"/>
      <c r="C122" s="329"/>
      <c r="D122" s="329"/>
      <c r="E122" s="383"/>
      <c r="F122" s="128" t="s">
        <v>72</v>
      </c>
      <c r="G122" s="70" t="s">
        <v>70</v>
      </c>
      <c r="H122" s="130" t="s">
        <v>71</v>
      </c>
      <c r="I122" s="358"/>
      <c r="J122" s="380"/>
      <c r="K122" s="398" t="s">
        <v>180</v>
      </c>
      <c r="L122" s="399"/>
      <c r="M122" s="27" t="s">
        <v>179</v>
      </c>
      <c r="N122" s="400" t="s">
        <v>181</v>
      </c>
      <c r="O122" s="401"/>
      <c r="P122" s="398" t="s">
        <v>180</v>
      </c>
      <c r="Q122" s="399"/>
      <c r="R122" s="27" t="s">
        <v>179</v>
      </c>
      <c r="S122" s="400" t="s">
        <v>181</v>
      </c>
      <c r="T122" s="401"/>
    </row>
    <row r="123" spans="1:20" ht="12.75">
      <c r="A123" s="346" t="s">
        <v>85</v>
      </c>
      <c r="B123" s="346">
        <v>3</v>
      </c>
      <c r="C123" s="132" t="s">
        <v>11</v>
      </c>
      <c r="D123" s="158">
        <v>1</v>
      </c>
      <c r="E123" s="91" t="s">
        <v>13</v>
      </c>
      <c r="F123" s="36">
        <v>830</v>
      </c>
      <c r="G123" s="34">
        <v>540</v>
      </c>
      <c r="H123" s="50">
        <v>150</v>
      </c>
      <c r="I123" s="154">
        <f aca="true" t="shared" si="6" ref="I123:I138">F123*G123*H123/1000000000</f>
        <v>0.06723</v>
      </c>
      <c r="J123" s="344">
        <f>I123+I125+I126</f>
        <v>0.150405</v>
      </c>
      <c r="K123" s="269">
        <v>19.41</v>
      </c>
      <c r="L123" s="270"/>
      <c r="M123" s="56">
        <v>19.41</v>
      </c>
      <c r="N123" s="269">
        <v>19.41</v>
      </c>
      <c r="O123" s="280"/>
      <c r="P123" s="270">
        <f>K123+K125+K126</f>
        <v>43.56</v>
      </c>
      <c r="Q123" s="280"/>
      <c r="R123" s="280">
        <f>M123+M124+M126</f>
        <v>46.81</v>
      </c>
      <c r="S123" s="270">
        <f>N123+N124+N126</f>
        <v>52.970000000000006</v>
      </c>
      <c r="T123" s="280"/>
    </row>
    <row r="124" spans="1:20" ht="12.75">
      <c r="A124" s="347"/>
      <c r="B124" s="347"/>
      <c r="C124" s="163" t="s">
        <v>245</v>
      </c>
      <c r="D124" s="384">
        <v>1</v>
      </c>
      <c r="E124" s="94" t="s">
        <v>13</v>
      </c>
      <c r="F124" s="111">
        <v>920</v>
      </c>
      <c r="G124" s="31">
        <v>620</v>
      </c>
      <c r="H124" s="113">
        <v>40</v>
      </c>
      <c r="I124" s="145">
        <f>F124*G124*H124/1000000000</f>
        <v>0.022816</v>
      </c>
      <c r="J124" s="342"/>
      <c r="K124" s="265" t="s">
        <v>247</v>
      </c>
      <c r="L124" s="266"/>
      <c r="M124" s="71">
        <v>12.77</v>
      </c>
      <c r="N124" s="265">
        <v>18.93</v>
      </c>
      <c r="O124" s="381"/>
      <c r="P124" s="279"/>
      <c r="Q124" s="281"/>
      <c r="R124" s="281"/>
      <c r="S124" s="279"/>
      <c r="T124" s="281"/>
    </row>
    <row r="125" spans="1:20" ht="12.75">
      <c r="A125" s="347"/>
      <c r="B125" s="347"/>
      <c r="C125" s="163" t="s">
        <v>244</v>
      </c>
      <c r="D125" s="384"/>
      <c r="E125" s="120" t="s">
        <v>246</v>
      </c>
      <c r="F125" s="111">
        <v>950</v>
      </c>
      <c r="G125" s="31">
        <v>650</v>
      </c>
      <c r="H125" s="113">
        <v>70</v>
      </c>
      <c r="I125" s="145">
        <f>F125*G125*H125/1000000000</f>
        <v>0.043225</v>
      </c>
      <c r="J125" s="342"/>
      <c r="K125" s="265">
        <v>9.52</v>
      </c>
      <c r="L125" s="266"/>
      <c r="M125" s="71" t="s">
        <v>247</v>
      </c>
      <c r="N125" s="265">
        <v>18.93</v>
      </c>
      <c r="O125" s="381"/>
      <c r="P125" s="279"/>
      <c r="Q125" s="281"/>
      <c r="R125" s="281"/>
      <c r="S125" s="279"/>
      <c r="T125" s="281"/>
    </row>
    <row r="126" spans="1:20" ht="13.5" thickBot="1">
      <c r="A126" s="348"/>
      <c r="B126" s="348"/>
      <c r="C126" s="142" t="s">
        <v>14</v>
      </c>
      <c r="D126" s="162">
        <v>1</v>
      </c>
      <c r="E126" s="124" t="s">
        <v>46</v>
      </c>
      <c r="F126" s="119">
        <v>940</v>
      </c>
      <c r="G126" s="32">
        <v>250</v>
      </c>
      <c r="H126" s="39">
        <v>170</v>
      </c>
      <c r="I126" s="147">
        <f t="shared" si="6"/>
        <v>0.03995</v>
      </c>
      <c r="J126" s="343"/>
      <c r="K126" s="267">
        <v>14.63</v>
      </c>
      <c r="L126" s="268"/>
      <c r="M126" s="87">
        <v>14.63</v>
      </c>
      <c r="N126" s="267">
        <v>14.63</v>
      </c>
      <c r="O126" s="393"/>
      <c r="P126" s="268"/>
      <c r="Q126" s="282"/>
      <c r="R126" s="282"/>
      <c r="S126" s="268"/>
      <c r="T126" s="282"/>
    </row>
    <row r="127" spans="1:20" ht="12.75">
      <c r="A127" s="346" t="s">
        <v>32</v>
      </c>
      <c r="B127" s="346">
        <v>3</v>
      </c>
      <c r="C127" s="132" t="s">
        <v>11</v>
      </c>
      <c r="D127" s="167">
        <v>1</v>
      </c>
      <c r="E127" s="91" t="s">
        <v>13</v>
      </c>
      <c r="F127" s="36">
        <v>1100</v>
      </c>
      <c r="G127" s="34">
        <v>540</v>
      </c>
      <c r="H127" s="50">
        <v>150</v>
      </c>
      <c r="I127" s="144">
        <f t="shared" si="6"/>
        <v>0.0891</v>
      </c>
      <c r="J127" s="344">
        <f>I127+I129+I130</f>
        <v>0.198675</v>
      </c>
      <c r="K127" s="269">
        <v>21.34</v>
      </c>
      <c r="L127" s="270"/>
      <c r="M127" s="56">
        <v>21.34</v>
      </c>
      <c r="N127" s="269">
        <v>21.34</v>
      </c>
      <c r="O127" s="280"/>
      <c r="P127" s="270">
        <f>K127+K129+K130</f>
        <v>52.2</v>
      </c>
      <c r="Q127" s="270"/>
      <c r="R127" s="269">
        <f>M127+M128+M130</f>
        <v>57.269999999999996</v>
      </c>
      <c r="S127" s="269">
        <f>N127+N128+N130</f>
        <v>64.52</v>
      </c>
      <c r="T127" s="280"/>
    </row>
    <row r="128" spans="1:20" ht="12.75">
      <c r="A128" s="347"/>
      <c r="B128" s="347"/>
      <c r="C128" s="163" t="s">
        <v>245</v>
      </c>
      <c r="D128" s="384">
        <v>1</v>
      </c>
      <c r="E128" s="94" t="s">
        <v>13</v>
      </c>
      <c r="F128" s="111">
        <v>1220</v>
      </c>
      <c r="G128" s="31">
        <v>620</v>
      </c>
      <c r="H128" s="113">
        <v>40</v>
      </c>
      <c r="I128" s="145">
        <f t="shared" si="6"/>
        <v>0.030256</v>
      </c>
      <c r="J128" s="342"/>
      <c r="K128" s="265" t="s">
        <v>247</v>
      </c>
      <c r="L128" s="266"/>
      <c r="M128" s="71">
        <v>17.49</v>
      </c>
      <c r="N128" s="265">
        <v>24.74</v>
      </c>
      <c r="O128" s="381"/>
      <c r="P128" s="279"/>
      <c r="Q128" s="279"/>
      <c r="R128" s="271"/>
      <c r="S128" s="271"/>
      <c r="T128" s="281"/>
    </row>
    <row r="129" spans="1:20" ht="12.75">
      <c r="A129" s="347"/>
      <c r="B129" s="347"/>
      <c r="C129" s="163" t="s">
        <v>244</v>
      </c>
      <c r="D129" s="384"/>
      <c r="E129" s="120" t="s">
        <v>246</v>
      </c>
      <c r="F129" s="111">
        <v>1250</v>
      </c>
      <c r="G129" s="31">
        <v>650</v>
      </c>
      <c r="H129" s="113">
        <v>70</v>
      </c>
      <c r="I129" s="145">
        <f t="shared" si="6"/>
        <v>0.056875</v>
      </c>
      <c r="J129" s="342"/>
      <c r="K129" s="265">
        <v>12.42</v>
      </c>
      <c r="L129" s="266"/>
      <c r="M129" s="71" t="s">
        <v>247</v>
      </c>
      <c r="N129" s="265">
        <v>24.74</v>
      </c>
      <c r="O129" s="381"/>
      <c r="P129" s="279"/>
      <c r="Q129" s="279"/>
      <c r="R129" s="271"/>
      <c r="S129" s="271"/>
      <c r="T129" s="281"/>
    </row>
    <row r="130" spans="1:20" ht="13.5" thickBot="1">
      <c r="A130" s="348"/>
      <c r="B130" s="348"/>
      <c r="C130" s="142" t="s">
        <v>14</v>
      </c>
      <c r="D130" s="162">
        <v>1</v>
      </c>
      <c r="E130" s="124" t="s">
        <v>46</v>
      </c>
      <c r="F130" s="119">
        <v>1240</v>
      </c>
      <c r="G130" s="32">
        <v>250</v>
      </c>
      <c r="H130" s="39">
        <v>170</v>
      </c>
      <c r="I130" s="147">
        <f t="shared" si="6"/>
        <v>0.0527</v>
      </c>
      <c r="J130" s="343"/>
      <c r="K130" s="267">
        <v>18.44</v>
      </c>
      <c r="L130" s="268"/>
      <c r="M130" s="87">
        <v>18.44</v>
      </c>
      <c r="N130" s="267">
        <v>18.44</v>
      </c>
      <c r="O130" s="393"/>
      <c r="P130" s="268"/>
      <c r="Q130" s="268"/>
      <c r="R130" s="267"/>
      <c r="S130" s="267"/>
      <c r="T130" s="282"/>
    </row>
    <row r="131" spans="1:20" ht="12.75">
      <c r="A131" s="346" t="s">
        <v>33</v>
      </c>
      <c r="B131" s="346">
        <v>3</v>
      </c>
      <c r="C131" s="132" t="s">
        <v>11</v>
      </c>
      <c r="D131" s="167">
        <v>1</v>
      </c>
      <c r="E131" s="91" t="s">
        <v>13</v>
      </c>
      <c r="F131" s="36">
        <v>1400</v>
      </c>
      <c r="G131" s="34">
        <v>540</v>
      </c>
      <c r="H131" s="50">
        <v>150</v>
      </c>
      <c r="I131" s="144">
        <f t="shared" si="6"/>
        <v>0.1134</v>
      </c>
      <c r="J131" s="344">
        <f>I131+I133+I134</f>
        <v>0.249375</v>
      </c>
      <c r="K131" s="269">
        <v>23.09</v>
      </c>
      <c r="L131" s="270"/>
      <c r="M131" s="56">
        <v>23.09</v>
      </c>
      <c r="N131" s="269">
        <v>23.09</v>
      </c>
      <c r="O131" s="280"/>
      <c r="P131" s="270">
        <f>K131+K133+K134</f>
        <v>60.879999999999995</v>
      </c>
      <c r="Q131" s="270"/>
      <c r="R131" s="269">
        <f>M131+M132+M134</f>
        <v>66.67</v>
      </c>
      <c r="S131" s="269">
        <f>N131+N132+N134</f>
        <v>75.73</v>
      </c>
      <c r="T131" s="280"/>
    </row>
    <row r="132" spans="1:20" ht="12.75">
      <c r="A132" s="347"/>
      <c r="B132" s="347"/>
      <c r="C132" s="163" t="s">
        <v>245</v>
      </c>
      <c r="D132" s="384">
        <v>1</v>
      </c>
      <c r="E132" s="94" t="s">
        <v>13</v>
      </c>
      <c r="F132" s="111">
        <v>1520</v>
      </c>
      <c r="G132" s="31">
        <v>620</v>
      </c>
      <c r="H132" s="113">
        <v>40</v>
      </c>
      <c r="I132" s="145">
        <f t="shared" si="6"/>
        <v>0.037696</v>
      </c>
      <c r="J132" s="342"/>
      <c r="K132" s="265" t="s">
        <v>247</v>
      </c>
      <c r="L132" s="266"/>
      <c r="M132" s="148">
        <v>21.49</v>
      </c>
      <c r="N132" s="271">
        <v>30.55</v>
      </c>
      <c r="O132" s="362"/>
      <c r="P132" s="279"/>
      <c r="Q132" s="279"/>
      <c r="R132" s="271"/>
      <c r="S132" s="271"/>
      <c r="T132" s="281"/>
    </row>
    <row r="133" spans="1:20" ht="12.75">
      <c r="A133" s="347"/>
      <c r="B133" s="347"/>
      <c r="C133" s="163" t="s">
        <v>244</v>
      </c>
      <c r="D133" s="384"/>
      <c r="E133" s="120" t="s">
        <v>246</v>
      </c>
      <c r="F133" s="111">
        <v>1550</v>
      </c>
      <c r="G133" s="31">
        <v>650</v>
      </c>
      <c r="H133" s="113">
        <v>70</v>
      </c>
      <c r="I133" s="145">
        <f t="shared" si="6"/>
        <v>0.070525</v>
      </c>
      <c r="J133" s="342"/>
      <c r="K133" s="265">
        <v>15.7</v>
      </c>
      <c r="L133" s="266"/>
      <c r="M133" s="148" t="s">
        <v>247</v>
      </c>
      <c r="N133" s="271">
        <v>30.55</v>
      </c>
      <c r="O133" s="362"/>
      <c r="P133" s="279"/>
      <c r="Q133" s="279"/>
      <c r="R133" s="271"/>
      <c r="S133" s="271"/>
      <c r="T133" s="281"/>
    </row>
    <row r="134" spans="1:20" ht="13.5" thickBot="1">
      <c r="A134" s="348"/>
      <c r="B134" s="348"/>
      <c r="C134" s="142" t="s">
        <v>14</v>
      </c>
      <c r="D134" s="162">
        <v>1</v>
      </c>
      <c r="E134" s="124" t="s">
        <v>46</v>
      </c>
      <c r="F134" s="119">
        <v>1540</v>
      </c>
      <c r="G134" s="32">
        <v>250</v>
      </c>
      <c r="H134" s="39">
        <v>170</v>
      </c>
      <c r="I134" s="147">
        <f t="shared" si="6"/>
        <v>0.06545</v>
      </c>
      <c r="J134" s="343"/>
      <c r="K134" s="267">
        <v>22.09</v>
      </c>
      <c r="L134" s="268"/>
      <c r="M134" s="87">
        <v>22.09</v>
      </c>
      <c r="N134" s="267">
        <v>22.09</v>
      </c>
      <c r="O134" s="393"/>
      <c r="P134" s="268"/>
      <c r="Q134" s="268"/>
      <c r="R134" s="267"/>
      <c r="S134" s="267"/>
      <c r="T134" s="282"/>
    </row>
    <row r="135" spans="1:20" ht="12.75">
      <c r="A135" s="346" t="s">
        <v>34</v>
      </c>
      <c r="B135" s="346">
        <v>3</v>
      </c>
      <c r="C135" s="132" t="s">
        <v>11</v>
      </c>
      <c r="D135" s="167">
        <v>1</v>
      </c>
      <c r="E135" s="91" t="s">
        <v>13</v>
      </c>
      <c r="F135" s="36">
        <v>1700</v>
      </c>
      <c r="G135" s="34">
        <v>540</v>
      </c>
      <c r="H135" s="50">
        <v>150</v>
      </c>
      <c r="I135" s="144">
        <f t="shared" si="6"/>
        <v>0.1377</v>
      </c>
      <c r="J135" s="344">
        <f>I135+I137+I138</f>
        <v>0.300075</v>
      </c>
      <c r="K135" s="269">
        <v>24.85</v>
      </c>
      <c r="L135" s="270"/>
      <c r="M135" s="56">
        <v>24.85</v>
      </c>
      <c r="N135" s="269">
        <v>24.85</v>
      </c>
      <c r="O135" s="280"/>
      <c r="P135" s="270">
        <f>K135+K137+K138</f>
        <v>69.99000000000001</v>
      </c>
      <c r="Q135" s="270"/>
      <c r="R135" s="269">
        <f>M135+M136+M138</f>
        <v>76.85000000000001</v>
      </c>
      <c r="S135" s="269">
        <f>N135+N136+N138</f>
        <v>87.72</v>
      </c>
      <c r="T135" s="280"/>
    </row>
    <row r="136" spans="1:20" ht="12.75">
      <c r="A136" s="347"/>
      <c r="B136" s="347"/>
      <c r="C136" s="163" t="s">
        <v>245</v>
      </c>
      <c r="D136" s="384">
        <v>1</v>
      </c>
      <c r="E136" s="94" t="s">
        <v>13</v>
      </c>
      <c r="F136" s="111">
        <v>1820</v>
      </c>
      <c r="G136" s="31">
        <v>620</v>
      </c>
      <c r="H136" s="113">
        <v>40</v>
      </c>
      <c r="I136" s="145">
        <f t="shared" si="6"/>
        <v>0.045136</v>
      </c>
      <c r="J136" s="342"/>
      <c r="K136" s="265" t="s">
        <v>247</v>
      </c>
      <c r="L136" s="266"/>
      <c r="M136" s="148">
        <v>25.49</v>
      </c>
      <c r="N136" s="271">
        <v>36.36</v>
      </c>
      <c r="O136" s="362"/>
      <c r="P136" s="279"/>
      <c r="Q136" s="279"/>
      <c r="R136" s="271"/>
      <c r="S136" s="271"/>
      <c r="T136" s="281"/>
    </row>
    <row r="137" spans="1:20" ht="12.75">
      <c r="A137" s="347"/>
      <c r="B137" s="347"/>
      <c r="C137" s="163" t="s">
        <v>244</v>
      </c>
      <c r="D137" s="384"/>
      <c r="E137" s="120" t="s">
        <v>246</v>
      </c>
      <c r="F137" s="111">
        <v>1850</v>
      </c>
      <c r="G137" s="31">
        <v>650</v>
      </c>
      <c r="H137" s="113">
        <v>70</v>
      </c>
      <c r="I137" s="145">
        <f t="shared" si="6"/>
        <v>0.084175</v>
      </c>
      <c r="J137" s="342"/>
      <c r="K137" s="265">
        <v>18.63</v>
      </c>
      <c r="L137" s="266"/>
      <c r="M137" s="148" t="s">
        <v>247</v>
      </c>
      <c r="N137" s="271">
        <v>36.36</v>
      </c>
      <c r="O137" s="362"/>
      <c r="P137" s="279"/>
      <c r="Q137" s="279"/>
      <c r="R137" s="271"/>
      <c r="S137" s="271"/>
      <c r="T137" s="281"/>
    </row>
    <row r="138" spans="1:20" ht="13.5" thickBot="1">
      <c r="A138" s="348"/>
      <c r="B138" s="348"/>
      <c r="C138" s="142" t="s">
        <v>14</v>
      </c>
      <c r="D138" s="159">
        <v>1</v>
      </c>
      <c r="E138" s="124" t="s">
        <v>46</v>
      </c>
      <c r="F138" s="127">
        <v>1840</v>
      </c>
      <c r="G138" s="51">
        <v>250</v>
      </c>
      <c r="H138" s="164">
        <v>170</v>
      </c>
      <c r="I138" s="147">
        <f t="shared" si="6"/>
        <v>0.0782</v>
      </c>
      <c r="J138" s="343"/>
      <c r="K138" s="267">
        <v>26.51</v>
      </c>
      <c r="L138" s="268"/>
      <c r="M138" s="87">
        <v>26.51</v>
      </c>
      <c r="N138" s="273">
        <v>26.51</v>
      </c>
      <c r="O138" s="446"/>
      <c r="P138" s="268"/>
      <c r="Q138" s="268"/>
      <c r="R138" s="267"/>
      <c r="S138" s="267"/>
      <c r="T138" s="282"/>
    </row>
    <row r="139" spans="1:20" ht="13.5" thickBot="1">
      <c r="A139" s="169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168"/>
      <c r="O139" s="168"/>
      <c r="P139" s="55"/>
      <c r="Q139" s="55"/>
      <c r="R139" s="55"/>
      <c r="S139" s="55"/>
      <c r="T139" s="6"/>
    </row>
    <row r="140" spans="1:20" ht="13.5" thickBot="1">
      <c r="A140" s="453" t="s">
        <v>93</v>
      </c>
      <c r="B140" s="454"/>
      <c r="C140" s="454"/>
      <c r="D140" s="454"/>
      <c r="E140" s="454"/>
      <c r="F140" s="455"/>
      <c r="G140" s="455"/>
      <c r="H140" s="455"/>
      <c r="I140" s="454"/>
      <c r="J140" s="454"/>
      <c r="K140" s="455"/>
      <c r="L140" s="455"/>
      <c r="M140" s="455"/>
      <c r="N140" s="455"/>
      <c r="O140" s="455"/>
      <c r="P140" s="455"/>
      <c r="Q140" s="455"/>
      <c r="R140" s="455"/>
      <c r="S140" s="455"/>
      <c r="T140" s="456"/>
    </row>
    <row r="141" spans="1:20" ht="13.5" thickBot="1">
      <c r="A141" s="313" t="s">
        <v>3</v>
      </c>
      <c r="B141" s="313" t="s">
        <v>9</v>
      </c>
      <c r="C141" s="313" t="s">
        <v>10</v>
      </c>
      <c r="D141" s="313" t="s">
        <v>23</v>
      </c>
      <c r="E141" s="311" t="s">
        <v>8</v>
      </c>
      <c r="F141" s="313" t="s">
        <v>4</v>
      </c>
      <c r="G141" s="314"/>
      <c r="H141" s="314"/>
      <c r="I141" s="327" t="s">
        <v>87</v>
      </c>
      <c r="J141" s="379" t="s">
        <v>86</v>
      </c>
      <c r="K141" s="276" t="s">
        <v>7</v>
      </c>
      <c r="L141" s="277"/>
      <c r="M141" s="277"/>
      <c r="N141" s="277"/>
      <c r="O141" s="278"/>
      <c r="P141" s="276" t="s">
        <v>163</v>
      </c>
      <c r="Q141" s="277"/>
      <c r="R141" s="277"/>
      <c r="S141" s="277"/>
      <c r="T141" s="278"/>
    </row>
    <row r="142" spans="1:20" ht="13.5" thickBot="1">
      <c r="A142" s="329"/>
      <c r="B142" s="329"/>
      <c r="C142" s="329"/>
      <c r="D142" s="329"/>
      <c r="E142" s="383"/>
      <c r="F142" s="137" t="s">
        <v>72</v>
      </c>
      <c r="G142" s="69" t="s">
        <v>70</v>
      </c>
      <c r="H142" s="170" t="s">
        <v>71</v>
      </c>
      <c r="I142" s="328"/>
      <c r="J142" s="380"/>
      <c r="K142" s="296" t="s">
        <v>180</v>
      </c>
      <c r="L142" s="297"/>
      <c r="M142" s="10" t="s">
        <v>179</v>
      </c>
      <c r="N142" s="288" t="s">
        <v>181</v>
      </c>
      <c r="O142" s="289"/>
      <c r="P142" s="296" t="s">
        <v>180</v>
      </c>
      <c r="Q142" s="297"/>
      <c r="R142" s="10" t="s">
        <v>179</v>
      </c>
      <c r="S142" s="288" t="s">
        <v>181</v>
      </c>
      <c r="T142" s="289"/>
    </row>
    <row r="143" spans="1:20" ht="12.75">
      <c r="A143" s="346" t="s">
        <v>97</v>
      </c>
      <c r="B143" s="346">
        <v>3</v>
      </c>
      <c r="C143" s="132" t="s">
        <v>11</v>
      </c>
      <c r="D143" s="158">
        <v>1</v>
      </c>
      <c r="E143" s="91" t="s">
        <v>13</v>
      </c>
      <c r="F143" s="36">
        <v>830</v>
      </c>
      <c r="G143" s="34">
        <v>540</v>
      </c>
      <c r="H143" s="50">
        <v>150</v>
      </c>
      <c r="I143" s="144">
        <f>F143*G143*H143/1000000000</f>
        <v>0.06723</v>
      </c>
      <c r="J143" s="344">
        <f>I143+I145+I146</f>
        <v>0.31328</v>
      </c>
      <c r="K143" s="269">
        <v>19.41</v>
      </c>
      <c r="L143" s="270"/>
      <c r="M143" s="56">
        <v>19.41</v>
      </c>
      <c r="N143" s="269">
        <v>19.41</v>
      </c>
      <c r="O143" s="270"/>
      <c r="P143" s="269">
        <f>K143+K145+K146</f>
        <v>49.65</v>
      </c>
      <c r="Q143" s="270"/>
      <c r="R143" s="269">
        <f>M143+M144+M146</f>
        <v>52.9</v>
      </c>
      <c r="S143" s="269">
        <f>N143+N144+N146</f>
        <v>59.06</v>
      </c>
      <c r="T143" s="280"/>
    </row>
    <row r="144" spans="1:20" ht="12.75">
      <c r="A144" s="347"/>
      <c r="B144" s="347"/>
      <c r="C144" s="163" t="s">
        <v>245</v>
      </c>
      <c r="D144" s="384">
        <v>1</v>
      </c>
      <c r="E144" s="94" t="s">
        <v>13</v>
      </c>
      <c r="F144" s="111">
        <v>920</v>
      </c>
      <c r="G144" s="31">
        <v>620</v>
      </c>
      <c r="H144" s="113">
        <v>40</v>
      </c>
      <c r="I144" s="145">
        <f>F144*G144*H144/1000000000</f>
        <v>0.022816</v>
      </c>
      <c r="J144" s="342"/>
      <c r="K144" s="265" t="s">
        <v>247</v>
      </c>
      <c r="L144" s="266"/>
      <c r="M144" s="71">
        <v>12.77</v>
      </c>
      <c r="N144" s="265">
        <v>18.93</v>
      </c>
      <c r="O144" s="275"/>
      <c r="P144" s="271"/>
      <c r="Q144" s="279"/>
      <c r="R144" s="271"/>
      <c r="S144" s="271"/>
      <c r="T144" s="281"/>
    </row>
    <row r="145" spans="1:20" ht="12.75">
      <c r="A145" s="347"/>
      <c r="B145" s="347"/>
      <c r="C145" s="163" t="s">
        <v>244</v>
      </c>
      <c r="D145" s="384"/>
      <c r="E145" s="120" t="s">
        <v>246</v>
      </c>
      <c r="F145" s="111">
        <v>950</v>
      </c>
      <c r="G145" s="31">
        <v>650</v>
      </c>
      <c r="H145" s="113">
        <v>70</v>
      </c>
      <c r="I145" s="145">
        <f>F145*G145*H145/1000000000</f>
        <v>0.043225</v>
      </c>
      <c r="J145" s="342"/>
      <c r="K145" s="265">
        <v>9.52</v>
      </c>
      <c r="L145" s="266"/>
      <c r="M145" s="71" t="s">
        <v>247</v>
      </c>
      <c r="N145" s="265">
        <v>18.93</v>
      </c>
      <c r="O145" s="275"/>
      <c r="P145" s="271"/>
      <c r="Q145" s="279"/>
      <c r="R145" s="271"/>
      <c r="S145" s="271"/>
      <c r="T145" s="281"/>
    </row>
    <row r="146" spans="1:20" ht="13.5" thickBot="1">
      <c r="A146" s="348"/>
      <c r="B146" s="348"/>
      <c r="C146" s="142" t="s">
        <v>14</v>
      </c>
      <c r="D146" s="159">
        <v>1</v>
      </c>
      <c r="E146" s="124" t="s">
        <v>13</v>
      </c>
      <c r="F146" s="119">
        <f>920+30</f>
        <v>950</v>
      </c>
      <c r="G146" s="32">
        <f>320+30</f>
        <v>350</v>
      </c>
      <c r="H146" s="39">
        <f>580+30</f>
        <v>610</v>
      </c>
      <c r="I146" s="147">
        <f aca="true" t="shared" si="7" ref="I146:I158">F146*G146*H146/1000000000</f>
        <v>0.202825</v>
      </c>
      <c r="J146" s="343"/>
      <c r="K146" s="267">
        <v>20.72</v>
      </c>
      <c r="L146" s="268"/>
      <c r="M146" s="87">
        <v>20.72</v>
      </c>
      <c r="N146" s="267">
        <v>20.72</v>
      </c>
      <c r="O146" s="268"/>
      <c r="P146" s="267"/>
      <c r="Q146" s="268"/>
      <c r="R146" s="267"/>
      <c r="S146" s="267"/>
      <c r="T146" s="282"/>
    </row>
    <row r="147" spans="1:20" ht="12.75">
      <c r="A147" s="346" t="s">
        <v>35</v>
      </c>
      <c r="B147" s="346">
        <v>3</v>
      </c>
      <c r="C147" s="132" t="s">
        <v>11</v>
      </c>
      <c r="D147" s="158">
        <v>1</v>
      </c>
      <c r="E147" s="91" t="s">
        <v>13</v>
      </c>
      <c r="F147" s="36">
        <v>1100</v>
      </c>
      <c r="G147" s="34">
        <v>540</v>
      </c>
      <c r="H147" s="50">
        <v>150</v>
      </c>
      <c r="I147" s="144">
        <f>F147*G147*H147/1000000000</f>
        <v>0.0891</v>
      </c>
      <c r="J147" s="344">
        <f>I147+I149+I150</f>
        <v>0.41284999999999994</v>
      </c>
      <c r="K147" s="269">
        <v>21.34</v>
      </c>
      <c r="L147" s="270"/>
      <c r="M147" s="56">
        <v>21.34</v>
      </c>
      <c r="N147" s="269">
        <v>21.34</v>
      </c>
      <c r="O147" s="270"/>
      <c r="P147" s="269">
        <f>K147+K149+K150</f>
        <v>57.69</v>
      </c>
      <c r="Q147" s="270"/>
      <c r="R147" s="269">
        <f>M147+M148+M150</f>
        <v>62.76</v>
      </c>
      <c r="S147" s="269">
        <f>N147+N148+N150</f>
        <v>70.00999999999999</v>
      </c>
      <c r="T147" s="280"/>
    </row>
    <row r="148" spans="1:20" ht="12.75">
      <c r="A148" s="347"/>
      <c r="B148" s="347"/>
      <c r="C148" s="163" t="s">
        <v>245</v>
      </c>
      <c r="D148" s="384">
        <v>1</v>
      </c>
      <c r="E148" s="94" t="s">
        <v>13</v>
      </c>
      <c r="F148" s="111">
        <v>1220</v>
      </c>
      <c r="G148" s="31">
        <v>620</v>
      </c>
      <c r="H148" s="113">
        <v>40</v>
      </c>
      <c r="I148" s="145">
        <f>F148*G148*H148/1000000000</f>
        <v>0.030256</v>
      </c>
      <c r="J148" s="342"/>
      <c r="K148" s="265" t="s">
        <v>247</v>
      </c>
      <c r="L148" s="266"/>
      <c r="M148" s="71">
        <v>17.49</v>
      </c>
      <c r="N148" s="265">
        <v>24.74</v>
      </c>
      <c r="O148" s="275"/>
      <c r="P148" s="271"/>
      <c r="Q148" s="279"/>
      <c r="R148" s="271"/>
      <c r="S148" s="271"/>
      <c r="T148" s="281"/>
    </row>
    <row r="149" spans="1:20" ht="12.75">
      <c r="A149" s="347"/>
      <c r="B149" s="347"/>
      <c r="C149" s="163" t="s">
        <v>244</v>
      </c>
      <c r="D149" s="384"/>
      <c r="E149" s="120" t="s">
        <v>246</v>
      </c>
      <c r="F149" s="111">
        <v>1250</v>
      </c>
      <c r="G149" s="31">
        <v>650</v>
      </c>
      <c r="H149" s="113">
        <v>70</v>
      </c>
      <c r="I149" s="145">
        <f>F149*G149*H149/1000000000</f>
        <v>0.056875</v>
      </c>
      <c r="J149" s="342"/>
      <c r="K149" s="265">
        <v>12.42</v>
      </c>
      <c r="L149" s="266"/>
      <c r="M149" s="71" t="s">
        <v>247</v>
      </c>
      <c r="N149" s="265">
        <v>24.74</v>
      </c>
      <c r="O149" s="275"/>
      <c r="P149" s="271"/>
      <c r="Q149" s="279"/>
      <c r="R149" s="271"/>
      <c r="S149" s="271"/>
      <c r="T149" s="281"/>
    </row>
    <row r="150" spans="1:20" ht="13.5" thickBot="1">
      <c r="A150" s="348"/>
      <c r="B150" s="348"/>
      <c r="C150" s="142" t="s">
        <v>14</v>
      </c>
      <c r="D150" s="159">
        <v>1</v>
      </c>
      <c r="E150" s="124" t="s">
        <v>13</v>
      </c>
      <c r="F150" s="119">
        <f>1220+30</f>
        <v>1250</v>
      </c>
      <c r="G150" s="32">
        <f>320+30</f>
        <v>350</v>
      </c>
      <c r="H150" s="39">
        <f>580+30</f>
        <v>610</v>
      </c>
      <c r="I150" s="147">
        <f t="shared" si="7"/>
        <v>0.266875</v>
      </c>
      <c r="J150" s="343"/>
      <c r="K150" s="267">
        <v>23.93</v>
      </c>
      <c r="L150" s="268"/>
      <c r="M150" s="87">
        <v>23.93</v>
      </c>
      <c r="N150" s="267">
        <v>23.93</v>
      </c>
      <c r="O150" s="268"/>
      <c r="P150" s="267"/>
      <c r="Q150" s="268"/>
      <c r="R150" s="267"/>
      <c r="S150" s="267"/>
      <c r="T150" s="282"/>
    </row>
    <row r="151" spans="1:20" ht="12.75">
      <c r="A151" s="346" t="s">
        <v>36</v>
      </c>
      <c r="B151" s="346">
        <v>3</v>
      </c>
      <c r="C151" s="132" t="s">
        <v>11</v>
      </c>
      <c r="D151" s="158">
        <v>1</v>
      </c>
      <c r="E151" s="91" t="s">
        <v>13</v>
      </c>
      <c r="F151" s="36">
        <v>1400</v>
      </c>
      <c r="G151" s="34">
        <v>540</v>
      </c>
      <c r="H151" s="50">
        <v>150</v>
      </c>
      <c r="I151" s="144">
        <f t="shared" si="7"/>
        <v>0.1134</v>
      </c>
      <c r="J151" s="344">
        <f>I151+I153+I154</f>
        <v>0.51485</v>
      </c>
      <c r="K151" s="269">
        <v>23.09</v>
      </c>
      <c r="L151" s="270"/>
      <c r="M151" s="56">
        <v>23.09</v>
      </c>
      <c r="N151" s="269">
        <v>23.09</v>
      </c>
      <c r="O151" s="270"/>
      <c r="P151" s="269">
        <f>K151+K153+K154</f>
        <v>67.05</v>
      </c>
      <c r="Q151" s="270"/>
      <c r="R151" s="269">
        <f>M151+M152+M154</f>
        <v>72.84</v>
      </c>
      <c r="S151" s="269">
        <f>N151+N152+N154</f>
        <v>81.9</v>
      </c>
      <c r="T151" s="280"/>
    </row>
    <row r="152" spans="1:20" ht="12.75">
      <c r="A152" s="347"/>
      <c r="B152" s="347"/>
      <c r="C152" s="163" t="s">
        <v>245</v>
      </c>
      <c r="D152" s="384">
        <v>1</v>
      </c>
      <c r="E152" s="94" t="s">
        <v>13</v>
      </c>
      <c r="F152" s="111">
        <v>1520</v>
      </c>
      <c r="G152" s="31">
        <v>620</v>
      </c>
      <c r="H152" s="113">
        <v>40</v>
      </c>
      <c r="I152" s="145">
        <f t="shared" si="7"/>
        <v>0.037696</v>
      </c>
      <c r="J152" s="342"/>
      <c r="K152" s="265" t="s">
        <v>247</v>
      </c>
      <c r="L152" s="266"/>
      <c r="M152" s="148">
        <v>21.49</v>
      </c>
      <c r="N152" s="271">
        <v>30.55</v>
      </c>
      <c r="O152" s="272"/>
      <c r="P152" s="271"/>
      <c r="Q152" s="279"/>
      <c r="R152" s="271"/>
      <c r="S152" s="271"/>
      <c r="T152" s="281"/>
    </row>
    <row r="153" spans="1:20" ht="12.75">
      <c r="A153" s="347"/>
      <c r="B153" s="347"/>
      <c r="C153" s="163" t="s">
        <v>244</v>
      </c>
      <c r="D153" s="384"/>
      <c r="E153" s="120" t="s">
        <v>246</v>
      </c>
      <c r="F153" s="111">
        <v>1550</v>
      </c>
      <c r="G153" s="31">
        <v>650</v>
      </c>
      <c r="H153" s="113">
        <v>70</v>
      </c>
      <c r="I153" s="145">
        <f t="shared" si="7"/>
        <v>0.070525</v>
      </c>
      <c r="J153" s="342"/>
      <c r="K153" s="265">
        <v>15.7</v>
      </c>
      <c r="L153" s="266"/>
      <c r="M153" s="148" t="s">
        <v>247</v>
      </c>
      <c r="N153" s="271">
        <v>30.55</v>
      </c>
      <c r="O153" s="272"/>
      <c r="P153" s="271"/>
      <c r="Q153" s="279"/>
      <c r="R153" s="271"/>
      <c r="S153" s="271"/>
      <c r="T153" s="281"/>
    </row>
    <row r="154" spans="1:20" ht="13.5" thickBot="1">
      <c r="A154" s="348"/>
      <c r="B154" s="348"/>
      <c r="C154" s="142" t="s">
        <v>14</v>
      </c>
      <c r="D154" s="159">
        <v>1</v>
      </c>
      <c r="E154" s="124" t="s">
        <v>13</v>
      </c>
      <c r="F154" s="119">
        <f>1520+30</f>
        <v>1550</v>
      </c>
      <c r="G154" s="32">
        <f>320+30</f>
        <v>350</v>
      </c>
      <c r="H154" s="39">
        <f>580+30</f>
        <v>610</v>
      </c>
      <c r="I154" s="147">
        <f t="shared" si="7"/>
        <v>0.330925</v>
      </c>
      <c r="J154" s="343"/>
      <c r="K154" s="267">
        <v>28.26</v>
      </c>
      <c r="L154" s="268"/>
      <c r="M154" s="87">
        <v>28.26</v>
      </c>
      <c r="N154" s="267">
        <v>28.26</v>
      </c>
      <c r="O154" s="268"/>
      <c r="P154" s="267"/>
      <c r="Q154" s="268"/>
      <c r="R154" s="267"/>
      <c r="S154" s="267"/>
      <c r="T154" s="282"/>
    </row>
    <row r="155" spans="1:20" ht="12.75">
      <c r="A155" s="346" t="s">
        <v>98</v>
      </c>
      <c r="B155" s="346">
        <v>3</v>
      </c>
      <c r="C155" s="132" t="s">
        <v>11</v>
      </c>
      <c r="D155" s="158">
        <v>1</v>
      </c>
      <c r="E155" s="91" t="s">
        <v>13</v>
      </c>
      <c r="F155" s="36">
        <v>1700</v>
      </c>
      <c r="G155" s="34">
        <v>540</v>
      </c>
      <c r="H155" s="50">
        <v>150</v>
      </c>
      <c r="I155" s="144">
        <f>F155*G155*H155/1000000000</f>
        <v>0.1377</v>
      </c>
      <c r="J155" s="344">
        <f>I155+I157+I158</f>
        <v>0.61685</v>
      </c>
      <c r="K155" s="269">
        <v>24.85</v>
      </c>
      <c r="L155" s="270"/>
      <c r="M155" s="56">
        <v>24.85</v>
      </c>
      <c r="N155" s="269">
        <v>24.85</v>
      </c>
      <c r="O155" s="270"/>
      <c r="P155" s="269">
        <f>K155+K157+K158</f>
        <v>74.97</v>
      </c>
      <c r="Q155" s="270"/>
      <c r="R155" s="269">
        <f>M155+M156+M158</f>
        <v>81.83</v>
      </c>
      <c r="S155" s="269">
        <f>N155+N156+N158</f>
        <v>92.7</v>
      </c>
      <c r="T155" s="280"/>
    </row>
    <row r="156" spans="1:20" ht="12.75">
      <c r="A156" s="347"/>
      <c r="B156" s="347"/>
      <c r="C156" s="163" t="s">
        <v>245</v>
      </c>
      <c r="D156" s="384">
        <v>1</v>
      </c>
      <c r="E156" s="94" t="s">
        <v>13</v>
      </c>
      <c r="F156" s="111">
        <v>1820</v>
      </c>
      <c r="G156" s="31">
        <v>620</v>
      </c>
      <c r="H156" s="113">
        <v>40</v>
      </c>
      <c r="I156" s="145">
        <f>F156*G156*H156/1000000000</f>
        <v>0.045136</v>
      </c>
      <c r="J156" s="342"/>
      <c r="K156" s="265" t="s">
        <v>247</v>
      </c>
      <c r="L156" s="266"/>
      <c r="M156" s="148">
        <v>25.49</v>
      </c>
      <c r="N156" s="271">
        <v>36.36</v>
      </c>
      <c r="O156" s="272"/>
      <c r="P156" s="271"/>
      <c r="Q156" s="279"/>
      <c r="R156" s="271"/>
      <c r="S156" s="271"/>
      <c r="T156" s="281"/>
    </row>
    <row r="157" spans="1:20" ht="12.75">
      <c r="A157" s="347"/>
      <c r="B157" s="347"/>
      <c r="C157" s="163" t="s">
        <v>244</v>
      </c>
      <c r="D157" s="384"/>
      <c r="E157" s="120" t="s">
        <v>246</v>
      </c>
      <c r="F157" s="111">
        <v>1850</v>
      </c>
      <c r="G157" s="31">
        <v>650</v>
      </c>
      <c r="H157" s="113">
        <v>70</v>
      </c>
      <c r="I157" s="145">
        <f>F157*G157*H157/1000000000</f>
        <v>0.084175</v>
      </c>
      <c r="J157" s="342"/>
      <c r="K157" s="265">
        <v>18.63</v>
      </c>
      <c r="L157" s="266"/>
      <c r="M157" s="148" t="s">
        <v>247</v>
      </c>
      <c r="N157" s="271">
        <v>36.36</v>
      </c>
      <c r="O157" s="272"/>
      <c r="P157" s="271"/>
      <c r="Q157" s="279"/>
      <c r="R157" s="271"/>
      <c r="S157" s="271"/>
      <c r="T157" s="281"/>
    </row>
    <row r="158" spans="1:20" ht="13.5" thickBot="1">
      <c r="A158" s="349"/>
      <c r="B158" s="349"/>
      <c r="C158" s="134" t="s">
        <v>14</v>
      </c>
      <c r="D158" s="162">
        <v>1</v>
      </c>
      <c r="E158" s="122" t="s">
        <v>13</v>
      </c>
      <c r="F158" s="119">
        <f>1820+30</f>
        <v>1850</v>
      </c>
      <c r="G158" s="32">
        <f>320+30</f>
        <v>350</v>
      </c>
      <c r="H158" s="39">
        <f>580+30</f>
        <v>610</v>
      </c>
      <c r="I158" s="146">
        <f t="shared" si="7"/>
        <v>0.394975</v>
      </c>
      <c r="J158" s="345"/>
      <c r="K158" s="273">
        <v>31.49</v>
      </c>
      <c r="L158" s="274"/>
      <c r="M158" s="57">
        <v>31.49</v>
      </c>
      <c r="N158" s="273">
        <v>31.49</v>
      </c>
      <c r="O158" s="274"/>
      <c r="P158" s="273"/>
      <c r="Q158" s="274"/>
      <c r="R158" s="273"/>
      <c r="S158" s="273"/>
      <c r="T158" s="283"/>
    </row>
    <row r="159" ht="13.5" thickBot="1"/>
    <row r="160" spans="1:16" ht="13.5" thickBot="1">
      <c r="A160" s="316" t="s">
        <v>40</v>
      </c>
      <c r="B160" s="317"/>
      <c r="C160" s="317"/>
      <c r="D160" s="317"/>
      <c r="E160" s="317"/>
      <c r="F160" s="318"/>
      <c r="G160" s="318"/>
      <c r="H160" s="318"/>
      <c r="I160" s="317"/>
      <c r="J160" s="317"/>
      <c r="K160" s="317"/>
      <c r="L160" s="317"/>
      <c r="M160" s="317"/>
      <c r="N160" s="317"/>
      <c r="O160" s="317"/>
      <c r="P160" s="451"/>
    </row>
    <row r="161" spans="1:16" ht="12.75">
      <c r="A161" s="313" t="s">
        <v>3</v>
      </c>
      <c r="B161" s="313" t="s">
        <v>9</v>
      </c>
      <c r="C161" s="313" t="s">
        <v>10</v>
      </c>
      <c r="D161" s="313" t="s">
        <v>23</v>
      </c>
      <c r="E161" s="311" t="s">
        <v>8</v>
      </c>
      <c r="F161" s="313" t="s">
        <v>4</v>
      </c>
      <c r="G161" s="314"/>
      <c r="H161" s="314"/>
      <c r="I161" s="327" t="s">
        <v>87</v>
      </c>
      <c r="J161" s="327" t="s">
        <v>86</v>
      </c>
      <c r="K161" s="313" t="s">
        <v>7</v>
      </c>
      <c r="L161" s="314"/>
      <c r="M161" s="314"/>
      <c r="N161" s="314"/>
      <c r="O161" s="313" t="s">
        <v>163</v>
      </c>
      <c r="P161" s="315"/>
    </row>
    <row r="162" spans="1:16" ht="13.5" thickBot="1">
      <c r="A162" s="329"/>
      <c r="B162" s="329"/>
      <c r="C162" s="329"/>
      <c r="D162" s="329"/>
      <c r="E162" s="383"/>
      <c r="F162" s="128" t="s">
        <v>72</v>
      </c>
      <c r="G162" s="70" t="s">
        <v>70</v>
      </c>
      <c r="H162" s="130" t="s">
        <v>71</v>
      </c>
      <c r="I162" s="328"/>
      <c r="J162" s="328"/>
      <c r="K162" s="329"/>
      <c r="L162" s="335"/>
      <c r="M162" s="335"/>
      <c r="N162" s="335"/>
      <c r="O162" s="329"/>
      <c r="P162" s="336"/>
    </row>
    <row r="163" spans="1:16" ht="12.75">
      <c r="A163" s="346" t="s">
        <v>41</v>
      </c>
      <c r="B163" s="346">
        <v>2</v>
      </c>
      <c r="C163" s="132" t="s">
        <v>43</v>
      </c>
      <c r="D163" s="132">
        <v>1</v>
      </c>
      <c r="E163" s="91" t="s">
        <v>13</v>
      </c>
      <c r="F163" s="150">
        <v>790</v>
      </c>
      <c r="G163" s="34">
        <v>520</v>
      </c>
      <c r="H163" s="37">
        <v>120</v>
      </c>
      <c r="I163" s="41">
        <f aca="true" t="shared" si="8" ref="I163:I168">F163*G163*H163/1000000000</f>
        <v>0.049296</v>
      </c>
      <c r="J163" s="350">
        <f>I163+I164</f>
        <v>0.069008</v>
      </c>
      <c r="K163" s="448">
        <v>15.58</v>
      </c>
      <c r="L163" s="448"/>
      <c r="M163" s="448"/>
      <c r="N163" s="449"/>
      <c r="O163" s="270">
        <f>K163+K164</f>
        <v>43.65</v>
      </c>
      <c r="P163" s="280"/>
    </row>
    <row r="164" spans="1:16" ht="13.5" thickBot="1">
      <c r="A164" s="348"/>
      <c r="B164" s="348"/>
      <c r="C164" s="155" t="s">
        <v>44</v>
      </c>
      <c r="D164" s="155">
        <v>1</v>
      </c>
      <c r="E164" s="126" t="s">
        <v>46</v>
      </c>
      <c r="F164" s="171">
        <v>640</v>
      </c>
      <c r="G164" s="29">
        <v>440</v>
      </c>
      <c r="H164" s="100">
        <v>70</v>
      </c>
      <c r="I164" s="108">
        <f t="shared" si="8"/>
        <v>0.019712</v>
      </c>
      <c r="J164" s="405"/>
      <c r="K164" s="285">
        <v>28.07</v>
      </c>
      <c r="L164" s="285"/>
      <c r="M164" s="285"/>
      <c r="N164" s="450"/>
      <c r="O164" s="268"/>
      <c r="P164" s="282"/>
    </row>
    <row r="165" spans="1:16" ht="12.75">
      <c r="A165" s="346" t="s">
        <v>42</v>
      </c>
      <c r="B165" s="346">
        <v>4</v>
      </c>
      <c r="C165" s="132" t="s">
        <v>43</v>
      </c>
      <c r="D165" s="132">
        <v>1</v>
      </c>
      <c r="E165" s="91" t="s">
        <v>13</v>
      </c>
      <c r="F165" s="150">
        <v>790</v>
      </c>
      <c r="G165" s="34">
        <v>520</v>
      </c>
      <c r="H165" s="37">
        <v>120</v>
      </c>
      <c r="I165" s="41">
        <f t="shared" si="8"/>
        <v>0.049296</v>
      </c>
      <c r="J165" s="350">
        <f>I165+I166+I167+I168</f>
        <v>0.188364</v>
      </c>
      <c r="K165" s="270">
        <v>15.58</v>
      </c>
      <c r="L165" s="270"/>
      <c r="M165" s="270"/>
      <c r="N165" s="280"/>
      <c r="O165" s="270">
        <f>K165+K166+K167+K168</f>
        <v>73.81</v>
      </c>
      <c r="P165" s="280"/>
    </row>
    <row r="166" spans="1:16" ht="12.75">
      <c r="A166" s="347"/>
      <c r="B166" s="347"/>
      <c r="C166" s="133" t="s">
        <v>45</v>
      </c>
      <c r="D166" s="133">
        <v>1</v>
      </c>
      <c r="E166" s="94" t="s">
        <v>13</v>
      </c>
      <c r="F166" s="131">
        <v>1100</v>
      </c>
      <c r="G166" s="28">
        <v>540</v>
      </c>
      <c r="H166" s="172">
        <v>150</v>
      </c>
      <c r="I166" s="101">
        <f t="shared" si="8"/>
        <v>0.0891</v>
      </c>
      <c r="J166" s="351"/>
      <c r="K166" s="279">
        <v>21.34</v>
      </c>
      <c r="L166" s="279"/>
      <c r="M166" s="279"/>
      <c r="N166" s="281"/>
      <c r="O166" s="279"/>
      <c r="P166" s="281"/>
    </row>
    <row r="167" spans="1:16" ht="12.75">
      <c r="A167" s="347"/>
      <c r="B167" s="347"/>
      <c r="C167" s="133" t="s">
        <v>44</v>
      </c>
      <c r="D167" s="133">
        <v>1</v>
      </c>
      <c r="E167" s="94" t="s">
        <v>46</v>
      </c>
      <c r="F167" s="110">
        <v>640</v>
      </c>
      <c r="G167" s="31">
        <v>440</v>
      </c>
      <c r="H167" s="98">
        <v>70</v>
      </c>
      <c r="I167" s="101">
        <f t="shared" si="8"/>
        <v>0.019712</v>
      </c>
      <c r="J167" s="351"/>
      <c r="K167" s="279">
        <v>28.07</v>
      </c>
      <c r="L167" s="279"/>
      <c r="M167" s="279"/>
      <c r="N167" s="281"/>
      <c r="O167" s="279"/>
      <c r="P167" s="281"/>
    </row>
    <row r="168" spans="1:16" ht="13.5" thickBot="1">
      <c r="A168" s="349"/>
      <c r="B168" s="349"/>
      <c r="C168" s="173" t="s">
        <v>12</v>
      </c>
      <c r="D168" s="173">
        <v>1</v>
      </c>
      <c r="E168" s="121" t="s">
        <v>13</v>
      </c>
      <c r="F168" s="171">
        <v>1220</v>
      </c>
      <c r="G168" s="29">
        <v>620</v>
      </c>
      <c r="H168" s="100">
        <v>40</v>
      </c>
      <c r="I168" s="49">
        <f t="shared" si="8"/>
        <v>0.030256</v>
      </c>
      <c r="J168" s="352"/>
      <c r="K168" s="287">
        <f>12.62-3.8</f>
        <v>8.82</v>
      </c>
      <c r="L168" s="287"/>
      <c r="M168" s="287"/>
      <c r="N168" s="298"/>
      <c r="O168" s="274"/>
      <c r="P168" s="283"/>
    </row>
    <row r="169" ht="13.5" thickBot="1"/>
    <row r="170" spans="1:14" ht="13.5" thickBot="1">
      <c r="A170" s="363" t="s">
        <v>47</v>
      </c>
      <c r="B170" s="364"/>
      <c r="C170" s="364"/>
      <c r="D170" s="364"/>
      <c r="E170" s="364"/>
      <c r="F170" s="364"/>
      <c r="G170" s="364"/>
      <c r="H170" s="364"/>
      <c r="I170" s="364"/>
      <c r="J170" s="364"/>
      <c r="K170" s="364"/>
      <c r="L170" s="364"/>
      <c r="M170" s="364"/>
      <c r="N170" s="365"/>
    </row>
    <row r="171" spans="1:14" ht="12.75">
      <c r="A171" s="313" t="s">
        <v>3</v>
      </c>
      <c r="B171" s="330" t="s">
        <v>22</v>
      </c>
      <c r="C171" s="313" t="s">
        <v>10</v>
      </c>
      <c r="D171" s="313" t="s">
        <v>23</v>
      </c>
      <c r="E171" s="313" t="s">
        <v>8</v>
      </c>
      <c r="F171" s="355" t="s">
        <v>4</v>
      </c>
      <c r="G171" s="356"/>
      <c r="H171" s="357"/>
      <c r="I171" s="353" t="s">
        <v>87</v>
      </c>
      <c r="J171" s="327" t="s">
        <v>86</v>
      </c>
      <c r="K171" s="313" t="s">
        <v>7</v>
      </c>
      <c r="L171" s="314"/>
      <c r="M171" s="314"/>
      <c r="N171" s="315"/>
    </row>
    <row r="172" spans="1:14" ht="13.5" thickBot="1">
      <c r="A172" s="329"/>
      <c r="B172" s="331"/>
      <c r="C172" s="329"/>
      <c r="D172" s="329"/>
      <c r="E172" s="329"/>
      <c r="F172" s="82" t="s">
        <v>72</v>
      </c>
      <c r="G172" s="184" t="s">
        <v>70</v>
      </c>
      <c r="H172" s="185" t="s">
        <v>71</v>
      </c>
      <c r="I172" s="354"/>
      <c r="J172" s="328"/>
      <c r="K172" s="329"/>
      <c r="L172" s="335"/>
      <c r="M172" s="335"/>
      <c r="N172" s="336"/>
    </row>
    <row r="173" spans="1:14" ht="13.5" thickBot="1">
      <c r="A173" s="177" t="s">
        <v>80</v>
      </c>
      <c r="B173" s="177">
        <v>1</v>
      </c>
      <c r="C173" s="177" t="s">
        <v>48</v>
      </c>
      <c r="D173" s="177">
        <v>1</v>
      </c>
      <c r="E173" s="182" t="s">
        <v>246</v>
      </c>
      <c r="F173" s="186">
        <f>1210+30</f>
        <v>1240</v>
      </c>
      <c r="G173" s="44">
        <f>720+30</f>
        <v>750</v>
      </c>
      <c r="H173" s="188">
        <v>130</v>
      </c>
      <c r="I173" s="189">
        <f>F173*G173*H173/1000000000</f>
        <v>0.1209</v>
      </c>
      <c r="J173" s="189">
        <f>I173</f>
        <v>0.1209</v>
      </c>
      <c r="K173" s="332">
        <v>29.78</v>
      </c>
      <c r="L173" s="333"/>
      <c r="M173" s="333"/>
      <c r="N173" s="334"/>
    </row>
    <row r="174" spans="1:14" ht="13.5" thickBot="1">
      <c r="A174" s="178" t="s">
        <v>81</v>
      </c>
      <c r="B174" s="178">
        <v>1</v>
      </c>
      <c r="C174" s="178" t="s">
        <v>48</v>
      </c>
      <c r="D174" s="178">
        <v>1</v>
      </c>
      <c r="E174" s="183" t="s">
        <v>246</v>
      </c>
      <c r="F174" s="40">
        <f>1510+30</f>
        <v>1540</v>
      </c>
      <c r="G174" s="86">
        <f>720+30</f>
        <v>750</v>
      </c>
      <c r="H174" s="73">
        <v>130</v>
      </c>
      <c r="I174" s="190">
        <f>F174*G174*H174/1000000000</f>
        <v>0.15015</v>
      </c>
      <c r="J174" s="190">
        <f>I174</f>
        <v>0.15015</v>
      </c>
      <c r="K174" s="366">
        <v>34.5</v>
      </c>
      <c r="L174" s="367"/>
      <c r="M174" s="367"/>
      <c r="N174" s="368"/>
    </row>
    <row r="175" ht="13.5" thickBot="1"/>
    <row r="176" spans="1:20" ht="13.5" thickBot="1">
      <c r="A176" s="363" t="s">
        <v>131</v>
      </c>
      <c r="B176" s="364"/>
      <c r="C176" s="364"/>
      <c r="D176" s="364"/>
      <c r="E176" s="364"/>
      <c r="F176" s="377"/>
      <c r="G176" s="377"/>
      <c r="H176" s="377"/>
      <c r="I176" s="364"/>
      <c r="J176" s="364"/>
      <c r="K176" s="377"/>
      <c r="L176" s="377"/>
      <c r="M176" s="377"/>
      <c r="N176" s="377"/>
      <c r="O176" s="377"/>
      <c r="P176" s="377"/>
      <c r="Q176" s="377"/>
      <c r="R176" s="377"/>
      <c r="S176" s="377"/>
      <c r="T176" s="378"/>
    </row>
    <row r="177" spans="1:20" ht="13.5" thickBot="1">
      <c r="A177" s="313" t="s">
        <v>3</v>
      </c>
      <c r="B177" s="330" t="s">
        <v>22</v>
      </c>
      <c r="C177" s="313" t="s">
        <v>10</v>
      </c>
      <c r="D177" s="313" t="s">
        <v>23</v>
      </c>
      <c r="E177" s="311" t="s">
        <v>8</v>
      </c>
      <c r="F177" s="313" t="s">
        <v>4</v>
      </c>
      <c r="G177" s="314"/>
      <c r="H177" s="314"/>
      <c r="I177" s="327" t="s">
        <v>87</v>
      </c>
      <c r="J177" s="379" t="s">
        <v>86</v>
      </c>
      <c r="K177" s="276" t="s">
        <v>7</v>
      </c>
      <c r="L177" s="277"/>
      <c r="M177" s="277"/>
      <c r="N177" s="277"/>
      <c r="O177" s="278"/>
      <c r="P177" s="276" t="s">
        <v>77</v>
      </c>
      <c r="Q177" s="277"/>
      <c r="R177" s="277"/>
      <c r="S177" s="277"/>
      <c r="T177" s="278"/>
    </row>
    <row r="178" spans="1:20" ht="13.5" thickBot="1">
      <c r="A178" s="329"/>
      <c r="B178" s="331"/>
      <c r="C178" s="329"/>
      <c r="D178" s="329"/>
      <c r="E178" s="383"/>
      <c r="F178" s="128" t="s">
        <v>72</v>
      </c>
      <c r="G178" s="70" t="s">
        <v>70</v>
      </c>
      <c r="H178" s="130" t="s">
        <v>71</v>
      </c>
      <c r="I178" s="328"/>
      <c r="J178" s="380"/>
      <c r="K178" s="296" t="s">
        <v>180</v>
      </c>
      <c r="L178" s="297"/>
      <c r="M178" s="10" t="s">
        <v>179</v>
      </c>
      <c r="N178" s="288" t="s">
        <v>182</v>
      </c>
      <c r="O178" s="323"/>
      <c r="P178" s="296" t="s">
        <v>180</v>
      </c>
      <c r="Q178" s="297"/>
      <c r="R178" s="10" t="s">
        <v>179</v>
      </c>
      <c r="S178" s="288" t="s">
        <v>182</v>
      </c>
      <c r="T178" s="323"/>
    </row>
    <row r="179" spans="1:20" ht="12.75">
      <c r="A179" s="371" t="s">
        <v>132</v>
      </c>
      <c r="B179" s="371">
        <v>2</v>
      </c>
      <c r="C179" s="132" t="s">
        <v>11</v>
      </c>
      <c r="D179" s="158">
        <v>1</v>
      </c>
      <c r="E179" s="91" t="s">
        <v>13</v>
      </c>
      <c r="F179" s="96">
        <v>780</v>
      </c>
      <c r="G179" s="34">
        <v>570</v>
      </c>
      <c r="H179" s="50">
        <v>140</v>
      </c>
      <c r="I179" s="144">
        <f>F179*G179*H179/1000000000</f>
        <v>0.062244</v>
      </c>
      <c r="J179" s="374">
        <f>I179+I181</f>
        <v>0.091819</v>
      </c>
      <c r="K179" s="359">
        <v>11.07</v>
      </c>
      <c r="L179" s="479"/>
      <c r="M179" s="66">
        <v>11.07</v>
      </c>
      <c r="N179" s="359">
        <v>11.07</v>
      </c>
      <c r="O179" s="360"/>
      <c r="P179" s="472">
        <f>K179+K181</f>
        <v>17.7</v>
      </c>
      <c r="Q179" s="473"/>
      <c r="R179" s="473">
        <f>M179+M180</f>
        <v>19.85</v>
      </c>
      <c r="S179" s="472">
        <f>N179+N180</f>
        <v>23.47</v>
      </c>
      <c r="T179" s="473"/>
    </row>
    <row r="180" spans="1:20" ht="12.75">
      <c r="A180" s="372"/>
      <c r="B180" s="372"/>
      <c r="C180" s="163" t="s">
        <v>245</v>
      </c>
      <c r="D180" s="384">
        <v>1</v>
      </c>
      <c r="E180" s="94" t="s">
        <v>13</v>
      </c>
      <c r="F180" s="97">
        <v>620</v>
      </c>
      <c r="G180" s="31">
        <v>620</v>
      </c>
      <c r="H180" s="113">
        <v>40</v>
      </c>
      <c r="I180" s="145">
        <f>F180*G180*H180/1000000000</f>
        <v>0.015376</v>
      </c>
      <c r="J180" s="375"/>
      <c r="K180" s="361" t="s">
        <v>247</v>
      </c>
      <c r="L180" s="272"/>
      <c r="M180" s="75">
        <v>8.78</v>
      </c>
      <c r="N180" s="361">
        <v>12.4</v>
      </c>
      <c r="O180" s="362"/>
      <c r="P180" s="474"/>
      <c r="Q180" s="475"/>
      <c r="R180" s="475"/>
      <c r="S180" s="474"/>
      <c r="T180" s="475"/>
    </row>
    <row r="181" spans="1:20" ht="13.5" thickBot="1">
      <c r="A181" s="373"/>
      <c r="B181" s="373"/>
      <c r="C181" s="191" t="s">
        <v>244</v>
      </c>
      <c r="D181" s="385"/>
      <c r="E181" s="105" t="s">
        <v>246</v>
      </c>
      <c r="F181" s="99">
        <v>650</v>
      </c>
      <c r="G181" s="29">
        <v>650</v>
      </c>
      <c r="H181" s="39">
        <v>70</v>
      </c>
      <c r="I181" s="147">
        <f>F181*G181*H181/1000000000</f>
        <v>0.029575</v>
      </c>
      <c r="J181" s="376"/>
      <c r="K181" s="470">
        <v>6.63</v>
      </c>
      <c r="L181" s="471"/>
      <c r="M181" s="193" t="s">
        <v>247</v>
      </c>
      <c r="N181" s="470">
        <v>12.4</v>
      </c>
      <c r="O181" s="393"/>
      <c r="P181" s="476"/>
      <c r="Q181" s="477"/>
      <c r="R181" s="478"/>
      <c r="S181" s="476"/>
      <c r="T181" s="477"/>
    </row>
    <row r="182" spans="1:20" ht="12.75">
      <c r="A182" s="346" t="s">
        <v>133</v>
      </c>
      <c r="B182" s="346">
        <v>2</v>
      </c>
      <c r="C182" s="132" t="s">
        <v>11</v>
      </c>
      <c r="D182" s="158">
        <v>1</v>
      </c>
      <c r="E182" s="91" t="s">
        <v>13</v>
      </c>
      <c r="F182" s="36">
        <v>800</v>
      </c>
      <c r="G182" s="34">
        <v>570</v>
      </c>
      <c r="H182" s="50">
        <v>140</v>
      </c>
      <c r="I182" s="144">
        <f aca="true" t="shared" si="9" ref="I182:I187">F182*G182*H182/1000000000</f>
        <v>0.06384</v>
      </c>
      <c r="J182" s="374">
        <f>I182+I184</f>
        <v>0.107065</v>
      </c>
      <c r="K182" s="269">
        <v>13.94</v>
      </c>
      <c r="L182" s="270"/>
      <c r="M182" s="56">
        <v>13.94</v>
      </c>
      <c r="N182" s="269">
        <v>13.94</v>
      </c>
      <c r="O182" s="280"/>
      <c r="P182" s="468">
        <f>K182+K184</f>
        <v>23.46</v>
      </c>
      <c r="Q182" s="469"/>
      <c r="R182" s="280">
        <f>M182+M183</f>
        <v>26.71</v>
      </c>
      <c r="S182" s="468">
        <f>N182+N183</f>
        <v>32.87</v>
      </c>
      <c r="T182" s="469"/>
    </row>
    <row r="183" spans="1:20" ht="12.75">
      <c r="A183" s="347"/>
      <c r="B183" s="347"/>
      <c r="C183" s="163" t="s">
        <v>245</v>
      </c>
      <c r="D183" s="384">
        <v>1</v>
      </c>
      <c r="E183" s="94" t="s">
        <v>13</v>
      </c>
      <c r="F183" s="111">
        <v>920</v>
      </c>
      <c r="G183" s="31">
        <v>620</v>
      </c>
      <c r="H183" s="113">
        <v>40</v>
      </c>
      <c r="I183" s="145">
        <f t="shared" si="9"/>
        <v>0.022816</v>
      </c>
      <c r="J183" s="375"/>
      <c r="K183" s="361" t="s">
        <v>247</v>
      </c>
      <c r="L183" s="272"/>
      <c r="M183" s="71">
        <v>12.77</v>
      </c>
      <c r="N183" s="265">
        <v>18.93</v>
      </c>
      <c r="O183" s="381"/>
      <c r="P183" s="279"/>
      <c r="Q183" s="281"/>
      <c r="R183" s="281"/>
      <c r="S183" s="279"/>
      <c r="T183" s="281"/>
    </row>
    <row r="184" spans="1:20" ht="13.5" thickBot="1">
      <c r="A184" s="348"/>
      <c r="B184" s="348"/>
      <c r="C184" s="191" t="s">
        <v>244</v>
      </c>
      <c r="D184" s="385"/>
      <c r="E184" s="105" t="s">
        <v>246</v>
      </c>
      <c r="F184" s="52">
        <v>950</v>
      </c>
      <c r="G184" s="29">
        <v>650</v>
      </c>
      <c r="H184" s="39">
        <v>70</v>
      </c>
      <c r="I184" s="147">
        <f t="shared" si="9"/>
        <v>0.043225</v>
      </c>
      <c r="J184" s="376"/>
      <c r="K184" s="284">
        <v>9.52</v>
      </c>
      <c r="L184" s="285"/>
      <c r="M184" s="87" t="s">
        <v>247</v>
      </c>
      <c r="N184" s="284">
        <v>18.93</v>
      </c>
      <c r="O184" s="467"/>
      <c r="P184" s="274"/>
      <c r="Q184" s="283"/>
      <c r="R184" s="282"/>
      <c r="S184" s="274"/>
      <c r="T184" s="283"/>
    </row>
    <row r="185" spans="1:20" ht="12.75">
      <c r="A185" s="346" t="s">
        <v>134</v>
      </c>
      <c r="B185" s="346">
        <v>2</v>
      </c>
      <c r="C185" s="132" t="s">
        <v>11</v>
      </c>
      <c r="D185" s="158">
        <v>1</v>
      </c>
      <c r="E185" s="91" t="s">
        <v>13</v>
      </c>
      <c r="F185" s="36">
        <v>1100</v>
      </c>
      <c r="G185" s="34">
        <v>570</v>
      </c>
      <c r="H185" s="50">
        <v>140</v>
      </c>
      <c r="I185" s="144">
        <f t="shared" si="9"/>
        <v>0.08778</v>
      </c>
      <c r="J185" s="344">
        <f>I185+I187</f>
        <v>0.144655</v>
      </c>
      <c r="K185" s="269">
        <v>15.25</v>
      </c>
      <c r="L185" s="270"/>
      <c r="M185" s="56">
        <v>15.25</v>
      </c>
      <c r="N185" s="269">
        <v>15.25</v>
      </c>
      <c r="O185" s="280"/>
      <c r="P185" s="468">
        <f>K185+K187</f>
        <v>27.67</v>
      </c>
      <c r="Q185" s="469"/>
      <c r="R185" s="280">
        <f>M185+M186</f>
        <v>32.739999999999995</v>
      </c>
      <c r="S185" s="468">
        <f>N185+N186</f>
        <v>39.989999999999995</v>
      </c>
      <c r="T185" s="469"/>
    </row>
    <row r="186" spans="1:20" ht="12.75">
      <c r="A186" s="347"/>
      <c r="B186" s="347"/>
      <c r="C186" s="163" t="s">
        <v>245</v>
      </c>
      <c r="D186" s="384">
        <v>1</v>
      </c>
      <c r="E186" s="94" t="s">
        <v>13</v>
      </c>
      <c r="F186" s="111">
        <v>1220</v>
      </c>
      <c r="G186" s="31">
        <v>620</v>
      </c>
      <c r="H186" s="113">
        <v>40</v>
      </c>
      <c r="I186" s="145">
        <f t="shared" si="9"/>
        <v>0.030256</v>
      </c>
      <c r="J186" s="480"/>
      <c r="K186" s="265" t="s">
        <v>247</v>
      </c>
      <c r="L186" s="266"/>
      <c r="M186" s="71">
        <v>17.49</v>
      </c>
      <c r="N186" s="265">
        <v>24.74</v>
      </c>
      <c r="O186" s="381"/>
      <c r="P186" s="279"/>
      <c r="Q186" s="281"/>
      <c r="R186" s="281"/>
      <c r="S186" s="279"/>
      <c r="T186" s="281"/>
    </row>
    <row r="187" spans="1:20" ht="13.5" thickBot="1">
      <c r="A187" s="349"/>
      <c r="B187" s="349"/>
      <c r="C187" s="192" t="s">
        <v>244</v>
      </c>
      <c r="D187" s="483"/>
      <c r="E187" s="95" t="s">
        <v>246</v>
      </c>
      <c r="F187" s="52">
        <v>1250</v>
      </c>
      <c r="G187" s="29">
        <v>650</v>
      </c>
      <c r="H187" s="39">
        <v>70</v>
      </c>
      <c r="I187" s="146">
        <f t="shared" si="9"/>
        <v>0.056875</v>
      </c>
      <c r="J187" s="481"/>
      <c r="K187" s="286">
        <v>12.42</v>
      </c>
      <c r="L187" s="287"/>
      <c r="M187" s="57" t="s">
        <v>247</v>
      </c>
      <c r="N187" s="286">
        <v>24.74</v>
      </c>
      <c r="O187" s="482"/>
      <c r="P187" s="274"/>
      <c r="Q187" s="283"/>
      <c r="R187" s="283"/>
      <c r="S187" s="274"/>
      <c r="T187" s="283"/>
    </row>
    <row r="188" ht="13.5" thickBot="1"/>
    <row r="189" spans="1:20" ht="13.5" thickBot="1">
      <c r="A189" s="316" t="s">
        <v>135</v>
      </c>
      <c r="B189" s="317"/>
      <c r="C189" s="317"/>
      <c r="D189" s="317"/>
      <c r="E189" s="317"/>
      <c r="F189" s="318"/>
      <c r="G189" s="318"/>
      <c r="H189" s="318"/>
      <c r="I189" s="318"/>
      <c r="J189" s="318"/>
      <c r="K189" s="318"/>
      <c r="L189" s="318"/>
      <c r="M189" s="318"/>
      <c r="N189" s="318"/>
      <c r="O189" s="318"/>
      <c r="P189" s="318"/>
      <c r="Q189" s="318"/>
      <c r="R189" s="318"/>
      <c r="S189" s="318"/>
      <c r="T189" s="319"/>
    </row>
    <row r="190" spans="1:20" ht="13.5" thickBot="1">
      <c r="A190" s="313" t="s">
        <v>3</v>
      </c>
      <c r="B190" s="330" t="s">
        <v>22</v>
      </c>
      <c r="C190" s="313" t="s">
        <v>10</v>
      </c>
      <c r="D190" s="313" t="s">
        <v>23</v>
      </c>
      <c r="E190" s="311" t="s">
        <v>8</v>
      </c>
      <c r="F190" s="313" t="s">
        <v>4</v>
      </c>
      <c r="G190" s="314"/>
      <c r="H190" s="315"/>
      <c r="I190" s="339" t="s">
        <v>87</v>
      </c>
      <c r="J190" s="310" t="s">
        <v>86</v>
      </c>
      <c r="K190" s="320" t="s">
        <v>7</v>
      </c>
      <c r="L190" s="321"/>
      <c r="M190" s="321"/>
      <c r="N190" s="321"/>
      <c r="O190" s="322"/>
      <c r="P190" s="320" t="s">
        <v>163</v>
      </c>
      <c r="Q190" s="321"/>
      <c r="R190" s="321"/>
      <c r="S190" s="321"/>
      <c r="T190" s="322"/>
    </row>
    <row r="191" spans="1:20" ht="13.5" thickBot="1">
      <c r="A191" s="337"/>
      <c r="B191" s="338"/>
      <c r="C191" s="337"/>
      <c r="D191" s="337"/>
      <c r="E191" s="312"/>
      <c r="F191" s="137" t="s">
        <v>72</v>
      </c>
      <c r="G191" s="69" t="s">
        <v>70</v>
      </c>
      <c r="H191" s="138" t="s">
        <v>71</v>
      </c>
      <c r="I191" s="340"/>
      <c r="J191" s="310"/>
      <c r="K191" s="296" t="s">
        <v>180</v>
      </c>
      <c r="L191" s="297"/>
      <c r="M191" s="10" t="s">
        <v>179</v>
      </c>
      <c r="N191" s="288" t="s">
        <v>182</v>
      </c>
      <c r="O191" s="323"/>
      <c r="P191" s="324" t="s">
        <v>180</v>
      </c>
      <c r="Q191" s="325"/>
      <c r="R191" s="10" t="s">
        <v>179</v>
      </c>
      <c r="S191" s="308" t="s">
        <v>182</v>
      </c>
      <c r="T191" s="326"/>
    </row>
    <row r="192" spans="1:20" ht="12.75">
      <c r="A192" s="392" t="s">
        <v>132</v>
      </c>
      <c r="B192" s="392">
        <v>3</v>
      </c>
      <c r="C192" s="165" t="s">
        <v>11</v>
      </c>
      <c r="D192" s="167">
        <v>1</v>
      </c>
      <c r="E192" s="165" t="s">
        <v>13</v>
      </c>
      <c r="F192" s="96">
        <v>780</v>
      </c>
      <c r="G192" s="34">
        <v>570</v>
      </c>
      <c r="H192" s="37">
        <v>140</v>
      </c>
      <c r="I192" s="139">
        <f aca="true" t="shared" si="10" ref="I192:I206">F192*G192*H192/1000000000</f>
        <v>0.062244</v>
      </c>
      <c r="J192" s="344">
        <f>I192+I194+I196</f>
        <v>0.112224</v>
      </c>
      <c r="K192" s="415">
        <v>11.07</v>
      </c>
      <c r="L192" s="484"/>
      <c r="M192" s="66">
        <v>11.07</v>
      </c>
      <c r="N192" s="359">
        <v>11.07</v>
      </c>
      <c r="O192" s="360"/>
      <c r="P192" s="332">
        <f>K192+K194+K196</f>
        <v>21.38</v>
      </c>
      <c r="Q192" s="334"/>
      <c r="R192" s="490">
        <f>M192+M193+M195</f>
        <v>24.990000000000002</v>
      </c>
      <c r="S192" s="332">
        <f>N192+N193+N195</f>
        <v>31.04</v>
      </c>
      <c r="T192" s="334"/>
    </row>
    <row r="193" spans="1:20" ht="12.75">
      <c r="A193" s="347"/>
      <c r="B193" s="347"/>
      <c r="C193" s="163" t="s">
        <v>248</v>
      </c>
      <c r="D193" s="384">
        <v>1</v>
      </c>
      <c r="E193" s="133" t="s">
        <v>13</v>
      </c>
      <c r="F193" s="97">
        <v>520</v>
      </c>
      <c r="G193" s="31">
        <v>500</v>
      </c>
      <c r="H193" s="98">
        <v>30</v>
      </c>
      <c r="I193" s="38">
        <f t="shared" si="10"/>
        <v>0.0078</v>
      </c>
      <c r="J193" s="480"/>
      <c r="K193" s="369" t="s">
        <v>247</v>
      </c>
      <c r="L193" s="370"/>
      <c r="M193" s="75">
        <v>5.14</v>
      </c>
      <c r="N193" s="361">
        <v>7.57</v>
      </c>
      <c r="O193" s="362"/>
      <c r="P193" s="485"/>
      <c r="Q193" s="486"/>
      <c r="R193" s="491"/>
      <c r="S193" s="485"/>
      <c r="T193" s="486"/>
    </row>
    <row r="194" spans="1:20" ht="12.75">
      <c r="A194" s="347"/>
      <c r="B194" s="347"/>
      <c r="C194" s="163" t="s">
        <v>249</v>
      </c>
      <c r="D194" s="384"/>
      <c r="E194" s="195" t="s">
        <v>246</v>
      </c>
      <c r="F194" s="97">
        <f>520+30</f>
        <v>550</v>
      </c>
      <c r="G194" s="31">
        <f>500+30</f>
        <v>530</v>
      </c>
      <c r="H194" s="98">
        <v>70</v>
      </c>
      <c r="I194" s="38">
        <f t="shared" si="10"/>
        <v>0.020405</v>
      </c>
      <c r="J194" s="480"/>
      <c r="K194" s="369">
        <v>3.68</v>
      </c>
      <c r="L194" s="370"/>
      <c r="M194" s="75" t="s">
        <v>247</v>
      </c>
      <c r="N194" s="361">
        <v>7.57</v>
      </c>
      <c r="O194" s="362"/>
      <c r="P194" s="485"/>
      <c r="Q194" s="486"/>
      <c r="R194" s="491"/>
      <c r="S194" s="485"/>
      <c r="T194" s="486"/>
    </row>
    <row r="195" spans="1:20" ht="12.75">
      <c r="A195" s="347"/>
      <c r="B195" s="347"/>
      <c r="C195" s="163" t="s">
        <v>245</v>
      </c>
      <c r="D195" s="384">
        <v>1</v>
      </c>
      <c r="E195" s="133" t="s">
        <v>13</v>
      </c>
      <c r="F195" s="97">
        <v>620</v>
      </c>
      <c r="G195" s="31">
        <v>620</v>
      </c>
      <c r="H195" s="98">
        <v>40</v>
      </c>
      <c r="I195" s="140">
        <f t="shared" si="10"/>
        <v>0.015376</v>
      </c>
      <c r="J195" s="480"/>
      <c r="K195" s="369" t="s">
        <v>247</v>
      </c>
      <c r="L195" s="370"/>
      <c r="M195" s="75">
        <v>8.78</v>
      </c>
      <c r="N195" s="361">
        <v>12.4</v>
      </c>
      <c r="O195" s="362"/>
      <c r="P195" s="485"/>
      <c r="Q195" s="486"/>
      <c r="R195" s="491"/>
      <c r="S195" s="485"/>
      <c r="T195" s="486"/>
    </row>
    <row r="196" spans="1:20" ht="13.5" thickBot="1">
      <c r="A196" s="348"/>
      <c r="B196" s="348"/>
      <c r="C196" s="191" t="s">
        <v>244</v>
      </c>
      <c r="D196" s="385"/>
      <c r="E196" s="196" t="s">
        <v>246</v>
      </c>
      <c r="F196" s="106">
        <v>650</v>
      </c>
      <c r="G196" s="46">
        <v>650</v>
      </c>
      <c r="H196" s="107">
        <v>70</v>
      </c>
      <c r="I196" s="143">
        <f t="shared" si="10"/>
        <v>0.029575</v>
      </c>
      <c r="J196" s="493"/>
      <c r="K196" s="411">
        <v>6.63</v>
      </c>
      <c r="L196" s="494"/>
      <c r="M196" s="193" t="s">
        <v>247</v>
      </c>
      <c r="N196" s="470">
        <v>12.4</v>
      </c>
      <c r="O196" s="393"/>
      <c r="P196" s="487"/>
      <c r="Q196" s="488"/>
      <c r="R196" s="492"/>
      <c r="S196" s="487"/>
      <c r="T196" s="488"/>
    </row>
    <row r="197" spans="1:20" ht="12.75">
      <c r="A197" s="346" t="s">
        <v>133</v>
      </c>
      <c r="B197" s="346">
        <v>3</v>
      </c>
      <c r="C197" s="132" t="s">
        <v>11</v>
      </c>
      <c r="D197" s="158">
        <v>1</v>
      </c>
      <c r="E197" s="132" t="s">
        <v>13</v>
      </c>
      <c r="F197" s="36">
        <v>800</v>
      </c>
      <c r="G197" s="34">
        <v>570</v>
      </c>
      <c r="H197" s="37">
        <v>140</v>
      </c>
      <c r="I197" s="139">
        <f t="shared" si="10"/>
        <v>0.06384</v>
      </c>
      <c r="J197" s="344">
        <f>I197+I199+I201</f>
        <v>0.13971299999999998</v>
      </c>
      <c r="K197" s="269">
        <v>13.94</v>
      </c>
      <c r="L197" s="270"/>
      <c r="M197" s="56">
        <v>13.94</v>
      </c>
      <c r="N197" s="269">
        <v>13.94</v>
      </c>
      <c r="O197" s="280"/>
      <c r="P197" s="332">
        <f>K197+K199+K201</f>
        <v>29.86</v>
      </c>
      <c r="Q197" s="334"/>
      <c r="R197" s="490">
        <f>M197+M198+M200</f>
        <v>35.66</v>
      </c>
      <c r="S197" s="332">
        <f>N197+N198+N200</f>
        <v>45.96</v>
      </c>
      <c r="T197" s="334"/>
    </row>
    <row r="198" spans="1:20" ht="12.75">
      <c r="A198" s="347"/>
      <c r="B198" s="347"/>
      <c r="C198" s="163" t="s">
        <v>248</v>
      </c>
      <c r="D198" s="384">
        <v>1</v>
      </c>
      <c r="E198" s="133" t="s">
        <v>13</v>
      </c>
      <c r="F198" s="111">
        <v>850</v>
      </c>
      <c r="G198" s="31">
        <v>500</v>
      </c>
      <c r="H198" s="98">
        <v>30</v>
      </c>
      <c r="I198" s="38">
        <f t="shared" si="10"/>
        <v>0.01275</v>
      </c>
      <c r="J198" s="480"/>
      <c r="K198" s="271" t="s">
        <v>247</v>
      </c>
      <c r="L198" s="279"/>
      <c r="M198" s="71">
        <v>8.95</v>
      </c>
      <c r="N198" s="271">
        <v>13.09</v>
      </c>
      <c r="O198" s="281"/>
      <c r="P198" s="485"/>
      <c r="Q198" s="486"/>
      <c r="R198" s="491"/>
      <c r="S198" s="485"/>
      <c r="T198" s="486"/>
    </row>
    <row r="199" spans="1:20" ht="12.75">
      <c r="A199" s="347"/>
      <c r="B199" s="347"/>
      <c r="C199" s="163" t="s">
        <v>249</v>
      </c>
      <c r="D199" s="384"/>
      <c r="E199" s="195" t="s">
        <v>246</v>
      </c>
      <c r="F199" s="111">
        <f>850+30</f>
        <v>880</v>
      </c>
      <c r="G199" s="31">
        <f>500+30</f>
        <v>530</v>
      </c>
      <c r="H199" s="98">
        <v>70</v>
      </c>
      <c r="I199" s="38">
        <f t="shared" si="10"/>
        <v>0.032648</v>
      </c>
      <c r="J199" s="480"/>
      <c r="K199" s="271">
        <v>6.4</v>
      </c>
      <c r="L199" s="279"/>
      <c r="M199" s="71" t="s">
        <v>247</v>
      </c>
      <c r="N199" s="271">
        <v>13.09</v>
      </c>
      <c r="O199" s="281"/>
      <c r="P199" s="485"/>
      <c r="Q199" s="486"/>
      <c r="R199" s="491"/>
      <c r="S199" s="485"/>
      <c r="T199" s="486"/>
    </row>
    <row r="200" spans="1:20" ht="12.75">
      <c r="A200" s="347"/>
      <c r="B200" s="347"/>
      <c r="C200" s="163" t="s">
        <v>245</v>
      </c>
      <c r="D200" s="384">
        <v>1</v>
      </c>
      <c r="E200" s="133" t="s">
        <v>13</v>
      </c>
      <c r="F200" s="111">
        <v>920</v>
      </c>
      <c r="G200" s="31">
        <v>620</v>
      </c>
      <c r="H200" s="98">
        <v>40</v>
      </c>
      <c r="I200" s="140">
        <f t="shared" si="10"/>
        <v>0.022816</v>
      </c>
      <c r="J200" s="480"/>
      <c r="K200" s="265" t="s">
        <v>247</v>
      </c>
      <c r="L200" s="266"/>
      <c r="M200" s="71">
        <v>12.77</v>
      </c>
      <c r="N200" s="265">
        <v>18.93</v>
      </c>
      <c r="O200" s="381"/>
      <c r="P200" s="485"/>
      <c r="Q200" s="486"/>
      <c r="R200" s="491"/>
      <c r="S200" s="485"/>
      <c r="T200" s="486"/>
    </row>
    <row r="201" spans="1:20" ht="13.5" thickBot="1">
      <c r="A201" s="348"/>
      <c r="B201" s="348"/>
      <c r="C201" s="191" t="s">
        <v>244</v>
      </c>
      <c r="D201" s="385"/>
      <c r="E201" s="196" t="s">
        <v>246</v>
      </c>
      <c r="F201" s="53">
        <v>950</v>
      </c>
      <c r="G201" s="46">
        <v>650</v>
      </c>
      <c r="H201" s="107">
        <v>70</v>
      </c>
      <c r="I201" s="143">
        <f t="shared" si="10"/>
        <v>0.043225</v>
      </c>
      <c r="J201" s="493"/>
      <c r="K201" s="284">
        <v>9.52</v>
      </c>
      <c r="L201" s="285"/>
      <c r="M201" s="87" t="s">
        <v>247</v>
      </c>
      <c r="N201" s="284">
        <v>18.93</v>
      </c>
      <c r="O201" s="467"/>
      <c r="P201" s="485"/>
      <c r="Q201" s="486"/>
      <c r="R201" s="491"/>
      <c r="S201" s="485"/>
      <c r="T201" s="486"/>
    </row>
    <row r="202" spans="1:20" ht="12.75">
      <c r="A202" s="346" t="s">
        <v>134</v>
      </c>
      <c r="B202" s="346">
        <v>3</v>
      </c>
      <c r="C202" s="132" t="s">
        <v>11</v>
      </c>
      <c r="D202" s="158">
        <v>1</v>
      </c>
      <c r="E202" s="132" t="s">
        <v>13</v>
      </c>
      <c r="F202" s="36">
        <v>1100</v>
      </c>
      <c r="G202" s="34">
        <v>570</v>
      </c>
      <c r="H202" s="37">
        <v>140</v>
      </c>
      <c r="I202" s="139">
        <f t="shared" si="10"/>
        <v>0.08778</v>
      </c>
      <c r="J202" s="344">
        <f>I202+I204+I206</f>
        <v>0.18843300000000002</v>
      </c>
      <c r="K202" s="269">
        <v>15.25</v>
      </c>
      <c r="L202" s="270"/>
      <c r="M202" s="56">
        <v>15.25</v>
      </c>
      <c r="N202" s="269">
        <v>15.25</v>
      </c>
      <c r="O202" s="270"/>
      <c r="P202" s="269">
        <f>K202+K204+K206</f>
        <v>36.37</v>
      </c>
      <c r="Q202" s="270"/>
      <c r="R202" s="269">
        <f>M202+M203+M205</f>
        <v>44.9</v>
      </c>
      <c r="S202" s="269">
        <f>N202+N203+N205</f>
        <v>57.78</v>
      </c>
      <c r="T202" s="280"/>
    </row>
    <row r="203" spans="1:20" ht="12.75">
      <c r="A203" s="347"/>
      <c r="B203" s="347"/>
      <c r="C203" s="163" t="s">
        <v>248</v>
      </c>
      <c r="D203" s="384">
        <v>1</v>
      </c>
      <c r="E203" s="133" t="s">
        <v>13</v>
      </c>
      <c r="F203" s="111">
        <v>1150</v>
      </c>
      <c r="G203" s="31">
        <v>500</v>
      </c>
      <c r="H203" s="98">
        <v>30</v>
      </c>
      <c r="I203" s="38">
        <f t="shared" si="10"/>
        <v>0.01725</v>
      </c>
      <c r="J203" s="480"/>
      <c r="K203" s="271" t="s">
        <v>247</v>
      </c>
      <c r="L203" s="279"/>
      <c r="M203" s="71">
        <v>12.16</v>
      </c>
      <c r="N203" s="271">
        <v>17.79</v>
      </c>
      <c r="O203" s="279"/>
      <c r="P203" s="271"/>
      <c r="Q203" s="279"/>
      <c r="R203" s="271"/>
      <c r="S203" s="271"/>
      <c r="T203" s="281"/>
    </row>
    <row r="204" spans="1:20" ht="12.75">
      <c r="A204" s="347"/>
      <c r="B204" s="347"/>
      <c r="C204" s="163" t="s">
        <v>249</v>
      </c>
      <c r="D204" s="384"/>
      <c r="E204" s="195" t="s">
        <v>246</v>
      </c>
      <c r="F204" s="111">
        <f>1150+30</f>
        <v>1180</v>
      </c>
      <c r="G204" s="31">
        <f>500+30</f>
        <v>530</v>
      </c>
      <c r="H204" s="98">
        <v>70</v>
      </c>
      <c r="I204" s="38">
        <f t="shared" si="10"/>
        <v>0.043778</v>
      </c>
      <c r="J204" s="480"/>
      <c r="K204" s="271">
        <v>8.7</v>
      </c>
      <c r="L204" s="279"/>
      <c r="M204" s="71" t="s">
        <v>247</v>
      </c>
      <c r="N204" s="271">
        <v>17.79</v>
      </c>
      <c r="O204" s="279"/>
      <c r="P204" s="271"/>
      <c r="Q204" s="279"/>
      <c r="R204" s="271"/>
      <c r="S204" s="271"/>
      <c r="T204" s="281"/>
    </row>
    <row r="205" spans="1:20" ht="12.75">
      <c r="A205" s="347"/>
      <c r="B205" s="347"/>
      <c r="C205" s="163" t="s">
        <v>245</v>
      </c>
      <c r="D205" s="384">
        <v>1</v>
      </c>
      <c r="E205" s="133" t="s">
        <v>13</v>
      </c>
      <c r="F205" s="111">
        <v>1220</v>
      </c>
      <c r="G205" s="31">
        <v>620</v>
      </c>
      <c r="H205" s="98">
        <v>40</v>
      </c>
      <c r="I205" s="140">
        <f t="shared" si="10"/>
        <v>0.030256</v>
      </c>
      <c r="J205" s="480"/>
      <c r="K205" s="265" t="s">
        <v>247</v>
      </c>
      <c r="L205" s="266"/>
      <c r="M205" s="71">
        <v>17.49</v>
      </c>
      <c r="N205" s="265">
        <v>24.74</v>
      </c>
      <c r="O205" s="275"/>
      <c r="P205" s="271"/>
      <c r="Q205" s="279"/>
      <c r="R205" s="271"/>
      <c r="S205" s="271"/>
      <c r="T205" s="281"/>
    </row>
    <row r="206" spans="1:20" ht="13.5" thickBot="1">
      <c r="A206" s="349"/>
      <c r="B206" s="349"/>
      <c r="C206" s="192" t="s">
        <v>244</v>
      </c>
      <c r="D206" s="483"/>
      <c r="E206" s="197" t="s">
        <v>246</v>
      </c>
      <c r="F206" s="52">
        <v>1250</v>
      </c>
      <c r="G206" s="29">
        <v>650</v>
      </c>
      <c r="H206" s="100">
        <v>70</v>
      </c>
      <c r="I206" s="141">
        <f t="shared" si="10"/>
        <v>0.056875</v>
      </c>
      <c r="J206" s="481"/>
      <c r="K206" s="286">
        <v>12.42</v>
      </c>
      <c r="L206" s="287"/>
      <c r="M206" s="57" t="s">
        <v>247</v>
      </c>
      <c r="N206" s="286">
        <v>24.74</v>
      </c>
      <c r="O206" s="489"/>
      <c r="P206" s="273"/>
      <c r="Q206" s="274"/>
      <c r="R206" s="273"/>
      <c r="S206" s="273"/>
      <c r="T206" s="283"/>
    </row>
  </sheetData>
  <sheetProtection/>
  <mergeCells count="766">
    <mergeCell ref="R192:R196"/>
    <mergeCell ref="R197:R201"/>
    <mergeCell ref="R202:R206"/>
    <mergeCell ref="P202:Q206"/>
    <mergeCell ref="J192:J196"/>
    <mergeCell ref="J197:J201"/>
    <mergeCell ref="J202:J206"/>
    <mergeCell ref="K194:L194"/>
    <mergeCell ref="N194:O194"/>
    <mergeCell ref="K196:L196"/>
    <mergeCell ref="N196:O196"/>
    <mergeCell ref="K204:L204"/>
    <mergeCell ref="K206:L206"/>
    <mergeCell ref="N204:O204"/>
    <mergeCell ref="N206:O206"/>
    <mergeCell ref="K205:L205"/>
    <mergeCell ref="N202:O202"/>
    <mergeCell ref="N203:O203"/>
    <mergeCell ref="N199:O199"/>
    <mergeCell ref="N201:O201"/>
    <mergeCell ref="S192:T196"/>
    <mergeCell ref="S197:T201"/>
    <mergeCell ref="S202:T206"/>
    <mergeCell ref="P192:Q196"/>
    <mergeCell ref="P197:Q201"/>
    <mergeCell ref="N195:O195"/>
    <mergeCell ref="N197:O197"/>
    <mergeCell ref="N198:O198"/>
    <mergeCell ref="N205:O205"/>
    <mergeCell ref="N200:O200"/>
    <mergeCell ref="K192:L192"/>
    <mergeCell ref="K193:L193"/>
    <mergeCell ref="A192:A196"/>
    <mergeCell ref="A197:A201"/>
    <mergeCell ref="A202:A206"/>
    <mergeCell ref="B192:B196"/>
    <mergeCell ref="B197:B201"/>
    <mergeCell ref="B202:B206"/>
    <mergeCell ref="D195:D196"/>
    <mergeCell ref="D200:D201"/>
    <mergeCell ref="D205:D206"/>
    <mergeCell ref="D193:D194"/>
    <mergeCell ref="D198:D199"/>
    <mergeCell ref="D203:D204"/>
    <mergeCell ref="D186:D187"/>
    <mergeCell ref="A185:A187"/>
    <mergeCell ref="B185:B187"/>
    <mergeCell ref="J185:J187"/>
    <mergeCell ref="K187:L187"/>
    <mergeCell ref="N187:O187"/>
    <mergeCell ref="P185:Q187"/>
    <mergeCell ref="R185:R187"/>
    <mergeCell ref="S185:T187"/>
    <mergeCell ref="K181:L181"/>
    <mergeCell ref="N181:O181"/>
    <mergeCell ref="P179:Q181"/>
    <mergeCell ref="R179:R181"/>
    <mergeCell ref="S179:T181"/>
    <mergeCell ref="D183:D184"/>
    <mergeCell ref="J182:J184"/>
    <mergeCell ref="S182:T184"/>
    <mergeCell ref="K179:L179"/>
    <mergeCell ref="K180:L180"/>
    <mergeCell ref="A182:A184"/>
    <mergeCell ref="B182:B184"/>
    <mergeCell ref="K184:L184"/>
    <mergeCell ref="N184:O184"/>
    <mergeCell ref="P182:Q184"/>
    <mergeCell ref="R182:R184"/>
    <mergeCell ref="K182:L182"/>
    <mergeCell ref="K183:L183"/>
    <mergeCell ref="D144:D145"/>
    <mergeCell ref="D148:D149"/>
    <mergeCell ref="D152:D153"/>
    <mergeCell ref="D156:D157"/>
    <mergeCell ref="K145:L145"/>
    <mergeCell ref="N145:O145"/>
    <mergeCell ref="K149:L149"/>
    <mergeCell ref="N149:O149"/>
    <mergeCell ref="K153:L153"/>
    <mergeCell ref="N153:O153"/>
    <mergeCell ref="N157:O157"/>
    <mergeCell ref="K150:L150"/>
    <mergeCell ref="K147:L147"/>
    <mergeCell ref="K148:L148"/>
    <mergeCell ref="K155:L155"/>
    <mergeCell ref="K156:L156"/>
    <mergeCell ref="N151:O151"/>
    <mergeCell ref="N152:O152"/>
    <mergeCell ref="N154:O154"/>
    <mergeCell ref="J155:J158"/>
    <mergeCell ref="D124:D125"/>
    <mergeCell ref="D128:D129"/>
    <mergeCell ref="D132:D133"/>
    <mergeCell ref="D136:D137"/>
    <mergeCell ref="K125:L125"/>
    <mergeCell ref="K158:L158"/>
    <mergeCell ref="J151:J154"/>
    <mergeCell ref="K154:L154"/>
    <mergeCell ref="K143:L143"/>
    <mergeCell ref="N125:O125"/>
    <mergeCell ref="K129:L129"/>
    <mergeCell ref="N129:O129"/>
    <mergeCell ref="K133:L133"/>
    <mergeCell ref="N133:O133"/>
    <mergeCell ref="K137:L137"/>
    <mergeCell ref="N137:O137"/>
    <mergeCell ref="K128:L128"/>
    <mergeCell ref="N128:O128"/>
    <mergeCell ref="K130:L130"/>
    <mergeCell ref="D104:D105"/>
    <mergeCell ref="D108:D109"/>
    <mergeCell ref="D112:D113"/>
    <mergeCell ref="D116:D117"/>
    <mergeCell ref="K105:L105"/>
    <mergeCell ref="N105:O105"/>
    <mergeCell ref="K109:L109"/>
    <mergeCell ref="N113:O113"/>
    <mergeCell ref="K117:L117"/>
    <mergeCell ref="N117:O117"/>
    <mergeCell ref="N115:O115"/>
    <mergeCell ref="N116:O116"/>
    <mergeCell ref="N110:O110"/>
    <mergeCell ref="N111:O111"/>
    <mergeCell ref="N112:O112"/>
    <mergeCell ref="J115:J118"/>
    <mergeCell ref="N85:O85"/>
    <mergeCell ref="N89:O89"/>
    <mergeCell ref="N93:O93"/>
    <mergeCell ref="N97:O97"/>
    <mergeCell ref="N87:O87"/>
    <mergeCell ref="N88:O88"/>
    <mergeCell ref="N90:O90"/>
    <mergeCell ref="N109:O109"/>
    <mergeCell ref="K113:L113"/>
    <mergeCell ref="N96:O96"/>
    <mergeCell ref="D44:D45"/>
    <mergeCell ref="K45:L45"/>
    <mergeCell ref="N45:O45"/>
    <mergeCell ref="D48:D49"/>
    <mergeCell ref="K49:L49"/>
    <mergeCell ref="J87:J90"/>
    <mergeCell ref="D88:D89"/>
    <mergeCell ref="A47:A50"/>
    <mergeCell ref="B47:B50"/>
    <mergeCell ref="A43:A46"/>
    <mergeCell ref="N91:O91"/>
    <mergeCell ref="N92:O92"/>
    <mergeCell ref="N94:O94"/>
    <mergeCell ref="K76:L76"/>
    <mergeCell ref="N75:O75"/>
    <mergeCell ref="N76:O76"/>
    <mergeCell ref="N78:O78"/>
    <mergeCell ref="A40:T40"/>
    <mergeCell ref="P41:T41"/>
    <mergeCell ref="R43:R46"/>
    <mergeCell ref="F41:H41"/>
    <mergeCell ref="J41:J42"/>
    <mergeCell ref="K41:O41"/>
    <mergeCell ref="B43:B46"/>
    <mergeCell ref="J43:J46"/>
    <mergeCell ref="I41:I42"/>
    <mergeCell ref="B41:B42"/>
    <mergeCell ref="C41:C42"/>
    <mergeCell ref="K42:L42"/>
    <mergeCell ref="K43:L43"/>
    <mergeCell ref="K44:L44"/>
    <mergeCell ref="K46:L46"/>
    <mergeCell ref="N25:O25"/>
    <mergeCell ref="D28:D29"/>
    <mergeCell ref="K29:L29"/>
    <mergeCell ref="N29:O29"/>
    <mergeCell ref="D32:D33"/>
    <mergeCell ref="K33:L33"/>
    <mergeCell ref="N33:O33"/>
    <mergeCell ref="D36:D37"/>
    <mergeCell ref="K37:L37"/>
    <mergeCell ref="N37:O37"/>
    <mergeCell ref="N15:O15"/>
    <mergeCell ref="N24:O24"/>
    <mergeCell ref="N26:O26"/>
    <mergeCell ref="N27:O27"/>
    <mergeCell ref="N28:O28"/>
    <mergeCell ref="P13:Q15"/>
    <mergeCell ref="R13:R15"/>
    <mergeCell ref="R16:R18"/>
    <mergeCell ref="K32:L32"/>
    <mergeCell ref="K34:L34"/>
    <mergeCell ref="D24:D25"/>
    <mergeCell ref="K30:L30"/>
    <mergeCell ref="K31:L31"/>
    <mergeCell ref="K25:L25"/>
    <mergeCell ref="N23:O23"/>
    <mergeCell ref="B16:B18"/>
    <mergeCell ref="D17:D18"/>
    <mergeCell ref="J16:J18"/>
    <mergeCell ref="K18:L18"/>
    <mergeCell ref="N18:O18"/>
    <mergeCell ref="P16:Q18"/>
    <mergeCell ref="P7:Q9"/>
    <mergeCell ref="R7:R9"/>
    <mergeCell ref="S7:T9"/>
    <mergeCell ref="K7:L7"/>
    <mergeCell ref="K8:L8"/>
    <mergeCell ref="P10:Q12"/>
    <mergeCell ref="S10:T12"/>
    <mergeCell ref="K10:L10"/>
    <mergeCell ref="K11:L11"/>
    <mergeCell ref="J10:J12"/>
    <mergeCell ref="K12:L12"/>
    <mergeCell ref="N12:O12"/>
    <mergeCell ref="S16:T18"/>
    <mergeCell ref="K16:L16"/>
    <mergeCell ref="K17:L17"/>
    <mergeCell ref="S13:T15"/>
    <mergeCell ref="K13:L13"/>
    <mergeCell ref="K14:L14"/>
    <mergeCell ref="R10:R12"/>
    <mergeCell ref="S23:T26"/>
    <mergeCell ref="S27:T30"/>
    <mergeCell ref="S31:T34"/>
    <mergeCell ref="J7:J9"/>
    <mergeCell ref="K9:L9"/>
    <mergeCell ref="A13:A15"/>
    <mergeCell ref="B13:B15"/>
    <mergeCell ref="D14:D15"/>
    <mergeCell ref="J13:J15"/>
    <mergeCell ref="K15:L15"/>
    <mergeCell ref="A10:A12"/>
    <mergeCell ref="B10:B12"/>
    <mergeCell ref="D11:D12"/>
    <mergeCell ref="S35:T38"/>
    <mergeCell ref="R31:R34"/>
    <mergeCell ref="K35:L35"/>
    <mergeCell ref="K36:L36"/>
    <mergeCell ref="K38:L38"/>
    <mergeCell ref="N35:O35"/>
    <mergeCell ref="N36:O36"/>
    <mergeCell ref="N38:O38"/>
    <mergeCell ref="N31:O31"/>
    <mergeCell ref="N32:O32"/>
    <mergeCell ref="S131:T134"/>
    <mergeCell ref="K132:L132"/>
    <mergeCell ref="N132:O132"/>
    <mergeCell ref="K134:L134"/>
    <mergeCell ref="N134:O134"/>
    <mergeCell ref="N114:O114"/>
    <mergeCell ref="R95:R98"/>
    <mergeCell ref="J135:J138"/>
    <mergeCell ref="K135:L135"/>
    <mergeCell ref="N135:O135"/>
    <mergeCell ref="P135:Q138"/>
    <mergeCell ref="N34:O34"/>
    <mergeCell ref="K23:L23"/>
    <mergeCell ref="K24:L24"/>
    <mergeCell ref="K26:L26"/>
    <mergeCell ref="K27:L27"/>
    <mergeCell ref="N30:O30"/>
    <mergeCell ref="R135:R138"/>
    <mergeCell ref="S135:T138"/>
    <mergeCell ref="K136:L136"/>
    <mergeCell ref="N136:O136"/>
    <mergeCell ref="K138:L138"/>
    <mergeCell ref="N138:O138"/>
    <mergeCell ref="J131:J134"/>
    <mergeCell ref="K131:L131"/>
    <mergeCell ref="N131:O131"/>
    <mergeCell ref="N103:O103"/>
    <mergeCell ref="N104:O104"/>
    <mergeCell ref="N106:O106"/>
    <mergeCell ref="N107:O107"/>
    <mergeCell ref="N108:O108"/>
    <mergeCell ref="J107:J110"/>
    <mergeCell ref="J111:J114"/>
    <mergeCell ref="U2:U3"/>
    <mergeCell ref="R155:R158"/>
    <mergeCell ref="R147:R150"/>
    <mergeCell ref="R151:R154"/>
    <mergeCell ref="A140:T140"/>
    <mergeCell ref="P141:T141"/>
    <mergeCell ref="R143:R146"/>
    <mergeCell ref="A115:A118"/>
    <mergeCell ref="R103:R106"/>
    <mergeCell ref="R107:R110"/>
    <mergeCell ref="K178:L178"/>
    <mergeCell ref="N178:O178"/>
    <mergeCell ref="P178:Q178"/>
    <mergeCell ref="S178:T178"/>
    <mergeCell ref="A160:P160"/>
    <mergeCell ref="O161:P162"/>
    <mergeCell ref="O163:P164"/>
    <mergeCell ref="O165:P168"/>
    <mergeCell ref="A165:A168"/>
    <mergeCell ref="A161:A162"/>
    <mergeCell ref="K168:N168"/>
    <mergeCell ref="K167:N167"/>
    <mergeCell ref="J163:J164"/>
    <mergeCell ref="B165:B168"/>
    <mergeCell ref="K166:N166"/>
    <mergeCell ref="E161:E162"/>
    <mergeCell ref="I161:I162"/>
    <mergeCell ref="C161:C162"/>
    <mergeCell ref="K163:N163"/>
    <mergeCell ref="K164:N164"/>
    <mergeCell ref="K165:N165"/>
    <mergeCell ref="J161:J162"/>
    <mergeCell ref="A163:A164"/>
    <mergeCell ref="K161:N162"/>
    <mergeCell ref="B163:B164"/>
    <mergeCell ref="B161:B162"/>
    <mergeCell ref="F161:H161"/>
    <mergeCell ref="J101:J102"/>
    <mergeCell ref="A103:A106"/>
    <mergeCell ref="B103:B106"/>
    <mergeCell ref="K142:L142"/>
    <mergeCell ref="N142:O142"/>
    <mergeCell ref="P142:Q142"/>
    <mergeCell ref="P102:Q102"/>
    <mergeCell ref="P103:Q106"/>
    <mergeCell ref="P107:Q110"/>
    <mergeCell ref="P111:Q114"/>
    <mergeCell ref="P115:Q118"/>
    <mergeCell ref="R111:R114"/>
    <mergeCell ref="R115:R118"/>
    <mergeCell ref="K102:L102"/>
    <mergeCell ref="N102:O102"/>
    <mergeCell ref="K103:L103"/>
    <mergeCell ref="K104:L104"/>
    <mergeCell ref="K106:L106"/>
    <mergeCell ref="K107:L107"/>
    <mergeCell ref="K108:L108"/>
    <mergeCell ref="B147:B150"/>
    <mergeCell ref="S142:T142"/>
    <mergeCell ref="P143:Q146"/>
    <mergeCell ref="P147:Q150"/>
    <mergeCell ref="K116:L116"/>
    <mergeCell ref="K118:L118"/>
    <mergeCell ref="N118:O118"/>
    <mergeCell ref="K121:O121"/>
    <mergeCell ref="K122:L122"/>
    <mergeCell ref="N122:O122"/>
    <mergeCell ref="S102:T102"/>
    <mergeCell ref="S103:T106"/>
    <mergeCell ref="S107:T110"/>
    <mergeCell ref="S111:T114"/>
    <mergeCell ref="S115:T118"/>
    <mergeCell ref="K110:L110"/>
    <mergeCell ref="K111:L111"/>
    <mergeCell ref="K112:L112"/>
    <mergeCell ref="K114:L114"/>
    <mergeCell ref="K115:L115"/>
    <mergeCell ref="K123:L123"/>
    <mergeCell ref="N123:O123"/>
    <mergeCell ref="K124:L124"/>
    <mergeCell ref="N124:O124"/>
    <mergeCell ref="K62:L62"/>
    <mergeCell ref="R87:R90"/>
    <mergeCell ref="R91:R94"/>
    <mergeCell ref="P87:Q90"/>
    <mergeCell ref="P91:Q94"/>
    <mergeCell ref="P95:Q98"/>
    <mergeCell ref="S91:T94"/>
    <mergeCell ref="S95:T98"/>
    <mergeCell ref="K73:L73"/>
    <mergeCell ref="K77:L77"/>
    <mergeCell ref="N65:O65"/>
    <mergeCell ref="N69:O69"/>
    <mergeCell ref="N73:O73"/>
    <mergeCell ref="N77:O77"/>
    <mergeCell ref="K75:L75"/>
    <mergeCell ref="N95:O95"/>
    <mergeCell ref="K89:L89"/>
    <mergeCell ref="K93:L93"/>
    <mergeCell ref="K97:L97"/>
    <mergeCell ref="K53:L53"/>
    <mergeCell ref="P61:T61"/>
    <mergeCell ref="R63:R66"/>
    <mergeCell ref="R55:R58"/>
    <mergeCell ref="R67:R70"/>
    <mergeCell ref="R71:R74"/>
    <mergeCell ref="S87:T90"/>
    <mergeCell ref="R83:R86"/>
    <mergeCell ref="R75:R78"/>
    <mergeCell ref="A80:T80"/>
    <mergeCell ref="K81:O81"/>
    <mergeCell ref="E81:E82"/>
    <mergeCell ref="P83:Q86"/>
    <mergeCell ref="S83:T86"/>
    <mergeCell ref="K83:L83"/>
    <mergeCell ref="K84:L84"/>
    <mergeCell ref="K85:L85"/>
    <mergeCell ref="K86:L86"/>
    <mergeCell ref="N83:O83"/>
    <mergeCell ref="N84:O84"/>
    <mergeCell ref="N86:O86"/>
    <mergeCell ref="A60:T60"/>
    <mergeCell ref="N55:O55"/>
    <mergeCell ref="N56:O56"/>
    <mergeCell ref="N58:O58"/>
    <mergeCell ref="J61:J62"/>
    <mergeCell ref="J63:J66"/>
    <mergeCell ref="K47:L47"/>
    <mergeCell ref="K48:L48"/>
    <mergeCell ref="K50:L50"/>
    <mergeCell ref="P42:Q42"/>
    <mergeCell ref="P43:Q46"/>
    <mergeCell ref="P47:Q50"/>
    <mergeCell ref="N42:O42"/>
    <mergeCell ref="N43:O43"/>
    <mergeCell ref="N44:O44"/>
    <mergeCell ref="N46:O46"/>
    <mergeCell ref="A1:T1"/>
    <mergeCell ref="J2:J3"/>
    <mergeCell ref="C2:C3"/>
    <mergeCell ref="D2:D3"/>
    <mergeCell ref="K2:O2"/>
    <mergeCell ref="K3:L3"/>
    <mergeCell ref="N3:O3"/>
    <mergeCell ref="I2:I3"/>
    <mergeCell ref="E2:E3"/>
    <mergeCell ref="B2:B3"/>
    <mergeCell ref="F2:H2"/>
    <mergeCell ref="A2:A3"/>
    <mergeCell ref="D41:D42"/>
    <mergeCell ref="A7:A9"/>
    <mergeCell ref="B7:B9"/>
    <mergeCell ref="D8:D9"/>
    <mergeCell ref="A16:A18"/>
    <mergeCell ref="B31:B34"/>
    <mergeCell ref="A35:A38"/>
    <mergeCell ref="B35:B38"/>
    <mergeCell ref="P3:Q3"/>
    <mergeCell ref="S3:T3"/>
    <mergeCell ref="P4:Q6"/>
    <mergeCell ref="R4:R6"/>
    <mergeCell ref="S4:T6"/>
    <mergeCell ref="P2:T2"/>
    <mergeCell ref="N22:O22"/>
    <mergeCell ref="P22:Q22"/>
    <mergeCell ref="S22:T22"/>
    <mergeCell ref="P23:Q26"/>
    <mergeCell ref="A4:A6"/>
    <mergeCell ref="B4:B6"/>
    <mergeCell ref="D5:D6"/>
    <mergeCell ref="J4:J6"/>
    <mergeCell ref="K4:L4"/>
    <mergeCell ref="K5:L5"/>
    <mergeCell ref="N4:O4"/>
    <mergeCell ref="N5:O5"/>
    <mergeCell ref="N7:O7"/>
    <mergeCell ref="N11:O11"/>
    <mergeCell ref="P21:T21"/>
    <mergeCell ref="A27:A30"/>
    <mergeCell ref="B27:B30"/>
    <mergeCell ref="K22:L22"/>
    <mergeCell ref="A20:T20"/>
    <mergeCell ref="R23:R26"/>
    <mergeCell ref="N13:O13"/>
    <mergeCell ref="N14:O14"/>
    <mergeCell ref="N16:O16"/>
    <mergeCell ref="N17:O17"/>
    <mergeCell ref="K6:L6"/>
    <mergeCell ref="N6:O6"/>
    <mergeCell ref="N8:O8"/>
    <mergeCell ref="N10:O10"/>
    <mergeCell ref="N9:O9"/>
    <mergeCell ref="P27:Q30"/>
    <mergeCell ref="J35:J38"/>
    <mergeCell ref="A21:A22"/>
    <mergeCell ref="D21:D22"/>
    <mergeCell ref="K21:O21"/>
    <mergeCell ref="R35:R38"/>
    <mergeCell ref="J21:J22"/>
    <mergeCell ref="J23:J26"/>
    <mergeCell ref="J27:J30"/>
    <mergeCell ref="A31:A34"/>
    <mergeCell ref="J31:J34"/>
    <mergeCell ref="R27:R30"/>
    <mergeCell ref="A23:A26"/>
    <mergeCell ref="B23:B26"/>
    <mergeCell ref="E21:E22"/>
    <mergeCell ref="I21:I22"/>
    <mergeCell ref="F21:H21"/>
    <mergeCell ref="B21:B22"/>
    <mergeCell ref="C21:C22"/>
    <mergeCell ref="P31:Q34"/>
    <mergeCell ref="P35:Q38"/>
    <mergeCell ref="K28:L28"/>
    <mergeCell ref="B95:B98"/>
    <mergeCell ref="D81:D82"/>
    <mergeCell ref="D61:D62"/>
    <mergeCell ref="D96:D97"/>
    <mergeCell ref="J51:J54"/>
    <mergeCell ref="J67:J70"/>
    <mergeCell ref="J71:J74"/>
    <mergeCell ref="J75:J78"/>
    <mergeCell ref="B101:B102"/>
    <mergeCell ref="A107:A110"/>
    <mergeCell ref="B107:B110"/>
    <mergeCell ref="A111:A114"/>
    <mergeCell ref="B111:B114"/>
    <mergeCell ref="I61:I62"/>
    <mergeCell ref="A67:A70"/>
    <mergeCell ref="B91:B94"/>
    <mergeCell ref="D84:D85"/>
    <mergeCell ref="D92:D93"/>
    <mergeCell ref="B63:B66"/>
    <mergeCell ref="A83:A86"/>
    <mergeCell ref="B83:B86"/>
    <mergeCell ref="A81:A82"/>
    <mergeCell ref="B81:B82"/>
    <mergeCell ref="J81:J82"/>
    <mergeCell ref="J83:J86"/>
    <mergeCell ref="N143:O143"/>
    <mergeCell ref="N144:O144"/>
    <mergeCell ref="C101:C102"/>
    <mergeCell ref="I141:I142"/>
    <mergeCell ref="J147:J150"/>
    <mergeCell ref="A151:A154"/>
    <mergeCell ref="B151:B154"/>
    <mergeCell ref="A120:T120"/>
    <mergeCell ref="A121:A122"/>
    <mergeCell ref="B121:B122"/>
    <mergeCell ref="A147:A150"/>
    <mergeCell ref="E121:E122"/>
    <mergeCell ref="F121:H121"/>
    <mergeCell ref="I121:I122"/>
    <mergeCell ref="A143:A146"/>
    <mergeCell ref="B143:B146"/>
    <mergeCell ref="A131:A134"/>
    <mergeCell ref="B131:B134"/>
    <mergeCell ref="A135:A138"/>
    <mergeCell ref="B135:B138"/>
    <mergeCell ref="J121:J122"/>
    <mergeCell ref="P121:T121"/>
    <mergeCell ref="A101:A102"/>
    <mergeCell ref="D101:D102"/>
    <mergeCell ref="A141:A142"/>
    <mergeCell ref="B141:B142"/>
    <mergeCell ref="E141:E142"/>
    <mergeCell ref="P122:Q122"/>
    <mergeCell ref="S122:T122"/>
    <mergeCell ref="J123:J126"/>
    <mergeCell ref="A41:A42"/>
    <mergeCell ref="B71:B74"/>
    <mergeCell ref="A100:T100"/>
    <mergeCell ref="P101:T101"/>
    <mergeCell ref="B61:B62"/>
    <mergeCell ref="K61:O61"/>
    <mergeCell ref="K54:L54"/>
    <mergeCell ref="K55:L55"/>
    <mergeCell ref="K56:L56"/>
    <mergeCell ref="K58:L58"/>
    <mergeCell ref="J47:J50"/>
    <mergeCell ref="B51:B54"/>
    <mergeCell ref="A91:A94"/>
    <mergeCell ref="A71:A74"/>
    <mergeCell ref="E41:E42"/>
    <mergeCell ref="B55:B58"/>
    <mergeCell ref="A51:A54"/>
    <mergeCell ref="J55:J58"/>
    <mergeCell ref="I81:I82"/>
    <mergeCell ref="B87:B90"/>
    <mergeCell ref="A61:A62"/>
    <mergeCell ref="B75:B78"/>
    <mergeCell ref="A87:A90"/>
    <mergeCell ref="C141:C142"/>
    <mergeCell ref="D141:D142"/>
    <mergeCell ref="A123:A126"/>
    <mergeCell ref="B123:B126"/>
    <mergeCell ref="A63:A66"/>
    <mergeCell ref="C121:C122"/>
    <mergeCell ref="D121:D122"/>
    <mergeCell ref="A127:A130"/>
    <mergeCell ref="B127:B130"/>
    <mergeCell ref="J127:J130"/>
    <mergeCell ref="K127:L127"/>
    <mergeCell ref="N127:O127"/>
    <mergeCell ref="P127:Q130"/>
    <mergeCell ref="N130:O130"/>
    <mergeCell ref="R127:R130"/>
    <mergeCell ref="S127:T130"/>
    <mergeCell ref="J141:J142"/>
    <mergeCell ref="K126:L126"/>
    <mergeCell ref="P131:Q134"/>
    <mergeCell ref="R131:R134"/>
    <mergeCell ref="P123:Q126"/>
    <mergeCell ref="R123:R126"/>
    <mergeCell ref="S123:T126"/>
    <mergeCell ref="N126:O126"/>
    <mergeCell ref="A55:A58"/>
    <mergeCell ref="C61:C62"/>
    <mergeCell ref="E61:E62"/>
    <mergeCell ref="F61:H61"/>
    <mergeCell ref="F81:H81"/>
    <mergeCell ref="C81:C82"/>
    <mergeCell ref="D72:D73"/>
    <mergeCell ref="D76:D77"/>
    <mergeCell ref="A75:A78"/>
    <mergeCell ref="B67:B70"/>
    <mergeCell ref="D52:D53"/>
    <mergeCell ref="D56:D57"/>
    <mergeCell ref="D64:D65"/>
    <mergeCell ref="D68:D69"/>
    <mergeCell ref="C177:C178"/>
    <mergeCell ref="K190:O190"/>
    <mergeCell ref="E177:E178"/>
    <mergeCell ref="D180:D181"/>
    <mergeCell ref="N62:O62"/>
    <mergeCell ref="E101:E102"/>
    <mergeCell ref="A177:A178"/>
    <mergeCell ref="B177:B178"/>
    <mergeCell ref="K185:L185"/>
    <mergeCell ref="K186:L186"/>
    <mergeCell ref="N179:O179"/>
    <mergeCell ref="N180:O180"/>
    <mergeCell ref="N182:O182"/>
    <mergeCell ref="N183:O183"/>
    <mergeCell ref="N185:O185"/>
    <mergeCell ref="N186:O186"/>
    <mergeCell ref="A179:A181"/>
    <mergeCell ref="B179:B181"/>
    <mergeCell ref="J179:J181"/>
    <mergeCell ref="A155:A158"/>
    <mergeCell ref="B155:B158"/>
    <mergeCell ref="C171:C172"/>
    <mergeCell ref="A176:T176"/>
    <mergeCell ref="P177:T177"/>
    <mergeCell ref="I177:I178"/>
    <mergeCell ref="J177:J178"/>
    <mergeCell ref="K195:L195"/>
    <mergeCell ref="K197:L197"/>
    <mergeCell ref="K198:L198"/>
    <mergeCell ref="K200:L200"/>
    <mergeCell ref="K202:L202"/>
    <mergeCell ref="K203:L203"/>
    <mergeCell ref="K199:L199"/>
    <mergeCell ref="K201:L201"/>
    <mergeCell ref="N192:O192"/>
    <mergeCell ref="N193:O193"/>
    <mergeCell ref="A170:N170"/>
    <mergeCell ref="A171:A172"/>
    <mergeCell ref="D161:D162"/>
    <mergeCell ref="E171:E172"/>
    <mergeCell ref="K174:N174"/>
    <mergeCell ref="K177:O177"/>
    <mergeCell ref="D177:D178"/>
    <mergeCell ref="F177:H177"/>
    <mergeCell ref="P62:Q62"/>
    <mergeCell ref="S62:T62"/>
    <mergeCell ref="K82:L82"/>
    <mergeCell ref="I171:I172"/>
    <mergeCell ref="F101:H101"/>
    <mergeCell ref="F141:H141"/>
    <mergeCell ref="F171:H171"/>
    <mergeCell ref="J91:J94"/>
    <mergeCell ref="J143:J146"/>
    <mergeCell ref="I101:I102"/>
    <mergeCell ref="J103:J106"/>
    <mergeCell ref="J95:J98"/>
    <mergeCell ref="A95:A98"/>
    <mergeCell ref="J165:J168"/>
    <mergeCell ref="B115:B118"/>
    <mergeCell ref="N74:O74"/>
    <mergeCell ref="N98:O98"/>
    <mergeCell ref="K87:L87"/>
    <mergeCell ref="K88:L88"/>
    <mergeCell ref="K90:L90"/>
    <mergeCell ref="J171:J172"/>
    <mergeCell ref="D171:D172"/>
    <mergeCell ref="B171:B172"/>
    <mergeCell ref="K173:N173"/>
    <mergeCell ref="K171:N172"/>
    <mergeCell ref="A190:A191"/>
    <mergeCell ref="B190:B191"/>
    <mergeCell ref="C190:C191"/>
    <mergeCell ref="D190:D191"/>
    <mergeCell ref="I190:I191"/>
    <mergeCell ref="J190:J191"/>
    <mergeCell ref="E190:E191"/>
    <mergeCell ref="F190:H190"/>
    <mergeCell ref="A189:T189"/>
    <mergeCell ref="P190:T190"/>
    <mergeCell ref="K191:L191"/>
    <mergeCell ref="N191:O191"/>
    <mergeCell ref="P191:Q191"/>
    <mergeCell ref="S191:T191"/>
    <mergeCell ref="P55:Q58"/>
    <mergeCell ref="S42:T42"/>
    <mergeCell ref="S43:T46"/>
    <mergeCell ref="S47:T50"/>
    <mergeCell ref="S51:T54"/>
    <mergeCell ref="S55:T58"/>
    <mergeCell ref="R47:R50"/>
    <mergeCell ref="N47:O47"/>
    <mergeCell ref="N53:O53"/>
    <mergeCell ref="R51:R54"/>
    <mergeCell ref="N48:O48"/>
    <mergeCell ref="N50:O50"/>
    <mergeCell ref="N51:O51"/>
    <mergeCell ref="N52:O52"/>
    <mergeCell ref="N54:O54"/>
    <mergeCell ref="P51:Q54"/>
    <mergeCell ref="N49:O49"/>
    <mergeCell ref="K57:L57"/>
    <mergeCell ref="N57:O57"/>
    <mergeCell ref="K51:L51"/>
    <mergeCell ref="K52:L52"/>
    <mergeCell ref="N82:O82"/>
    <mergeCell ref="P82:Q82"/>
    <mergeCell ref="K78:L78"/>
    <mergeCell ref="N63:O63"/>
    <mergeCell ref="N64:O64"/>
    <mergeCell ref="N66:O66"/>
    <mergeCell ref="S82:T82"/>
    <mergeCell ref="P63:Q66"/>
    <mergeCell ref="P67:Q70"/>
    <mergeCell ref="P71:Q74"/>
    <mergeCell ref="P75:Q78"/>
    <mergeCell ref="S63:T66"/>
    <mergeCell ref="S67:T70"/>
    <mergeCell ref="S71:T74"/>
    <mergeCell ref="S75:T78"/>
    <mergeCell ref="P81:T81"/>
    <mergeCell ref="N67:O67"/>
    <mergeCell ref="N68:O68"/>
    <mergeCell ref="N70:O70"/>
    <mergeCell ref="N71:O71"/>
    <mergeCell ref="N72:O72"/>
    <mergeCell ref="K63:L63"/>
    <mergeCell ref="K64:L64"/>
    <mergeCell ref="K66:L66"/>
    <mergeCell ref="K67:L67"/>
    <mergeCell ref="K68:L68"/>
    <mergeCell ref="K70:L70"/>
    <mergeCell ref="K71:L71"/>
    <mergeCell ref="K72:L72"/>
    <mergeCell ref="K74:L74"/>
    <mergeCell ref="K65:L65"/>
    <mergeCell ref="K69:L69"/>
    <mergeCell ref="K91:L91"/>
    <mergeCell ref="K92:L92"/>
    <mergeCell ref="K94:L94"/>
    <mergeCell ref="K95:L95"/>
    <mergeCell ref="K96:L96"/>
    <mergeCell ref="K98:L98"/>
    <mergeCell ref="K101:O101"/>
    <mergeCell ref="K141:O141"/>
    <mergeCell ref="P151:Q154"/>
    <mergeCell ref="P155:Q158"/>
    <mergeCell ref="S143:T146"/>
    <mergeCell ref="S147:T150"/>
    <mergeCell ref="S151:T154"/>
    <mergeCell ref="S155:T158"/>
    <mergeCell ref="K151:L151"/>
    <mergeCell ref="K152:L152"/>
    <mergeCell ref="K144:L144"/>
    <mergeCell ref="K146:L146"/>
    <mergeCell ref="N155:O155"/>
    <mergeCell ref="N156:O156"/>
    <mergeCell ref="N158:O158"/>
    <mergeCell ref="N146:O146"/>
    <mergeCell ref="N147:O147"/>
    <mergeCell ref="N148:O148"/>
    <mergeCell ref="N150:O150"/>
    <mergeCell ref="K157:L157"/>
  </mergeCells>
  <printOptions/>
  <pageMargins left="0.75" right="0.75" top="0.27" bottom="0.22" header="0.41" footer="0.16"/>
  <pageSetup fitToHeight="1" fitToWidth="1" horizontalDpi="600" verticalDpi="600" orientation="portrait" paperSize="9" scale="30" r:id="rId1"/>
  <rowBreaks count="2" manualBreakCount="2">
    <brk id="78" max="255" man="1"/>
    <brk id="15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="90" zoomScaleNormal="90" zoomScalePageLayoutView="0" workbookViewId="0" topLeftCell="A1">
      <pane xSplit="5" ySplit="3" topLeftCell="F1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34" sqref="J34:J36"/>
    </sheetView>
  </sheetViews>
  <sheetFormatPr defaultColWidth="9.00390625" defaultRowHeight="12.75"/>
  <cols>
    <col min="1" max="1" width="23.50390625" style="0" bestFit="1" customWidth="1"/>
    <col min="2" max="2" width="13.50390625" style="0" customWidth="1"/>
    <col min="3" max="3" width="22.625" style="0" customWidth="1"/>
    <col min="4" max="4" width="13.875" style="0" customWidth="1"/>
    <col min="5" max="5" width="17.875" style="0" customWidth="1"/>
    <col min="6" max="6" width="8.625" style="0" customWidth="1"/>
    <col min="7" max="7" width="8.50390625" style="0" customWidth="1"/>
    <col min="8" max="8" width="9.50390625" style="0" customWidth="1"/>
    <col min="9" max="9" width="10.00390625" style="0" customWidth="1"/>
    <col min="10" max="10" width="13.50390625" style="0" customWidth="1"/>
    <col min="11" max="11" width="11.50390625" style="0" customWidth="1"/>
    <col min="12" max="12" width="11.875" style="0" customWidth="1"/>
    <col min="13" max="13" width="12.625" style="14" customWidth="1"/>
    <col min="14" max="14" width="9.50390625" style="0" customWidth="1"/>
    <col min="15" max="15" width="12.00390625" style="0" customWidth="1"/>
  </cols>
  <sheetData>
    <row r="1" spans="1:12" ht="13.5" thickBot="1">
      <c r="A1" s="419" t="s">
        <v>99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8"/>
    </row>
    <row r="2" spans="1:13" ht="12.75">
      <c r="A2" s="313" t="s">
        <v>3</v>
      </c>
      <c r="B2" s="330" t="s">
        <v>22</v>
      </c>
      <c r="C2" s="313" t="s">
        <v>10</v>
      </c>
      <c r="D2" s="313" t="s">
        <v>23</v>
      </c>
      <c r="E2" s="311" t="s">
        <v>8</v>
      </c>
      <c r="F2" s="313" t="s">
        <v>4</v>
      </c>
      <c r="G2" s="314"/>
      <c r="H2" s="314"/>
      <c r="I2" s="327" t="s">
        <v>5</v>
      </c>
      <c r="J2" s="327" t="s">
        <v>75</v>
      </c>
      <c r="K2" s="327" t="s">
        <v>76</v>
      </c>
      <c r="L2" s="495" t="s">
        <v>77</v>
      </c>
      <c r="M2" s="500"/>
    </row>
    <row r="3" spans="1:13" ht="13.5" thickBot="1">
      <c r="A3" s="329"/>
      <c r="B3" s="331"/>
      <c r="C3" s="329"/>
      <c r="D3" s="329"/>
      <c r="E3" s="383"/>
      <c r="F3" s="137" t="s">
        <v>72</v>
      </c>
      <c r="G3" s="69" t="s">
        <v>70</v>
      </c>
      <c r="H3" s="170" t="s">
        <v>71</v>
      </c>
      <c r="I3" s="328"/>
      <c r="J3" s="328"/>
      <c r="K3" s="328"/>
      <c r="L3" s="496"/>
      <c r="M3" s="500"/>
    </row>
    <row r="4" spans="1:12" ht="12.75">
      <c r="A4" s="346" t="s">
        <v>49</v>
      </c>
      <c r="B4" s="346">
        <v>2</v>
      </c>
      <c r="C4" s="132" t="s">
        <v>50</v>
      </c>
      <c r="D4" s="132">
        <v>1</v>
      </c>
      <c r="E4" s="179" t="s">
        <v>246</v>
      </c>
      <c r="F4" s="36">
        <f>820+30</f>
        <v>850</v>
      </c>
      <c r="G4" s="34">
        <f>460+30</f>
        <v>490</v>
      </c>
      <c r="H4" s="50">
        <f>1820+30</f>
        <v>1850</v>
      </c>
      <c r="I4" s="144">
        <f aca="true" t="shared" si="0" ref="I4:I21">F4*G4*H4/1000000000</f>
        <v>0.770525</v>
      </c>
      <c r="J4" s="344">
        <f>I4+I5</f>
        <v>0.8290730000000001</v>
      </c>
      <c r="K4" s="56">
        <v>62.93</v>
      </c>
      <c r="L4" s="299">
        <f>SUM(K4:K5)</f>
        <v>67.82</v>
      </c>
    </row>
    <row r="5" spans="1:12" ht="13.5" thickBot="1">
      <c r="A5" s="348"/>
      <c r="B5" s="348"/>
      <c r="C5" s="155" t="s">
        <v>11</v>
      </c>
      <c r="D5" s="155">
        <v>1</v>
      </c>
      <c r="E5" s="126" t="s">
        <v>13</v>
      </c>
      <c r="F5" s="53">
        <v>820</v>
      </c>
      <c r="G5" s="46">
        <v>420</v>
      </c>
      <c r="H5" s="164">
        <v>170</v>
      </c>
      <c r="I5" s="147">
        <f t="shared" si="0"/>
        <v>0.058548</v>
      </c>
      <c r="J5" s="343"/>
      <c r="K5" s="87">
        <v>4.89</v>
      </c>
      <c r="L5" s="301"/>
    </row>
    <row r="6" spans="1:12" ht="12.75">
      <c r="A6" s="346" t="s">
        <v>51</v>
      </c>
      <c r="B6" s="346">
        <v>3</v>
      </c>
      <c r="C6" s="132" t="s">
        <v>50</v>
      </c>
      <c r="D6" s="132">
        <v>1</v>
      </c>
      <c r="E6" s="179" t="s">
        <v>246</v>
      </c>
      <c r="F6" s="36">
        <f>820+30</f>
        <v>850</v>
      </c>
      <c r="G6" s="34">
        <f>460+30</f>
        <v>490</v>
      </c>
      <c r="H6" s="50">
        <f>1820+30</f>
        <v>1850</v>
      </c>
      <c r="I6" s="144">
        <f t="shared" si="0"/>
        <v>0.770525</v>
      </c>
      <c r="J6" s="344">
        <f>I6+I7+I8</f>
        <v>0.866383</v>
      </c>
      <c r="K6" s="56">
        <v>63.09</v>
      </c>
      <c r="L6" s="299">
        <f>SUM(K6:K8)</f>
        <v>79</v>
      </c>
    </row>
    <row r="7" spans="1:12" ht="12.75">
      <c r="A7" s="347"/>
      <c r="B7" s="347"/>
      <c r="C7" s="133" t="s">
        <v>11</v>
      </c>
      <c r="D7" s="133">
        <v>1</v>
      </c>
      <c r="E7" s="94" t="s">
        <v>13</v>
      </c>
      <c r="F7" s="111">
        <v>820</v>
      </c>
      <c r="G7" s="31">
        <v>420</v>
      </c>
      <c r="H7" s="113">
        <v>170</v>
      </c>
      <c r="I7" s="145">
        <f t="shared" si="0"/>
        <v>0.058548</v>
      </c>
      <c r="J7" s="342"/>
      <c r="K7" s="71">
        <v>4.89</v>
      </c>
      <c r="L7" s="300"/>
    </row>
    <row r="8" spans="1:12" ht="13.5" thickBot="1">
      <c r="A8" s="348"/>
      <c r="B8" s="348"/>
      <c r="C8" s="155" t="s">
        <v>124</v>
      </c>
      <c r="D8" s="155">
        <v>1</v>
      </c>
      <c r="E8" s="105" t="s">
        <v>246</v>
      </c>
      <c r="F8" s="53">
        <f>790+30</f>
        <v>820</v>
      </c>
      <c r="G8" s="46">
        <f>425+30</f>
        <v>455</v>
      </c>
      <c r="H8" s="164">
        <f>70+30</f>
        <v>100</v>
      </c>
      <c r="I8" s="147">
        <f t="shared" si="0"/>
        <v>0.03731</v>
      </c>
      <c r="J8" s="343"/>
      <c r="K8" s="87">
        <v>11.02</v>
      </c>
      <c r="L8" s="301"/>
    </row>
    <row r="9" spans="1:12" ht="12.75">
      <c r="A9" s="346" t="s">
        <v>52</v>
      </c>
      <c r="B9" s="346">
        <v>3</v>
      </c>
      <c r="C9" s="132" t="s">
        <v>50</v>
      </c>
      <c r="D9" s="132">
        <v>1</v>
      </c>
      <c r="E9" s="179" t="s">
        <v>246</v>
      </c>
      <c r="F9" s="36">
        <f>820+30</f>
        <v>850</v>
      </c>
      <c r="G9" s="34">
        <f>460+30</f>
        <v>490</v>
      </c>
      <c r="H9" s="50">
        <f>1820+30</f>
        <v>1850</v>
      </c>
      <c r="I9" s="144">
        <f>F9*G9*H9/1000000000</f>
        <v>0.770525</v>
      </c>
      <c r="J9" s="344">
        <f>I9+I10+I11</f>
        <v>0.866383</v>
      </c>
      <c r="K9" s="56">
        <v>62.84</v>
      </c>
      <c r="L9" s="299">
        <f>SUM(K9:K11)</f>
        <v>78.75</v>
      </c>
    </row>
    <row r="10" spans="1:12" ht="12.75">
      <c r="A10" s="347"/>
      <c r="B10" s="347"/>
      <c r="C10" s="133" t="s">
        <v>11</v>
      </c>
      <c r="D10" s="133">
        <v>1</v>
      </c>
      <c r="E10" s="94" t="s">
        <v>13</v>
      </c>
      <c r="F10" s="111">
        <v>820</v>
      </c>
      <c r="G10" s="31">
        <v>420</v>
      </c>
      <c r="H10" s="113">
        <v>170</v>
      </c>
      <c r="I10" s="145">
        <f t="shared" si="0"/>
        <v>0.058548</v>
      </c>
      <c r="J10" s="342"/>
      <c r="K10" s="71">
        <v>4.89</v>
      </c>
      <c r="L10" s="300"/>
    </row>
    <row r="11" spans="1:12" ht="13.5" thickBot="1">
      <c r="A11" s="348"/>
      <c r="B11" s="348"/>
      <c r="C11" s="155" t="s">
        <v>124</v>
      </c>
      <c r="D11" s="155">
        <v>1</v>
      </c>
      <c r="E11" s="105" t="s">
        <v>246</v>
      </c>
      <c r="F11" s="53">
        <f>790+30</f>
        <v>820</v>
      </c>
      <c r="G11" s="46">
        <f>425+30</f>
        <v>455</v>
      </c>
      <c r="H11" s="164">
        <f>70+30</f>
        <v>100</v>
      </c>
      <c r="I11" s="147">
        <f>F11*G11*H11/1000000000</f>
        <v>0.03731</v>
      </c>
      <c r="J11" s="343"/>
      <c r="K11" s="87">
        <v>11.02</v>
      </c>
      <c r="L11" s="301"/>
    </row>
    <row r="12" spans="1:12" ht="12.75">
      <c r="A12" s="346" t="s">
        <v>136</v>
      </c>
      <c r="B12" s="346">
        <v>3</v>
      </c>
      <c r="C12" s="132" t="s">
        <v>50</v>
      </c>
      <c r="D12" s="132">
        <v>1</v>
      </c>
      <c r="E12" s="179" t="s">
        <v>246</v>
      </c>
      <c r="F12" s="36">
        <f>820+30</f>
        <v>850</v>
      </c>
      <c r="G12" s="34">
        <f>460+30</f>
        <v>490</v>
      </c>
      <c r="H12" s="50">
        <f>1820+30</f>
        <v>1850</v>
      </c>
      <c r="I12" s="144">
        <f>F12*G12*H12/1000000000</f>
        <v>0.770525</v>
      </c>
      <c r="J12" s="344">
        <f>I12+I13+I14</f>
        <v>0.866383</v>
      </c>
      <c r="K12" s="56">
        <v>52.76</v>
      </c>
      <c r="L12" s="299">
        <f>SUM(K12:K14)</f>
        <v>68.67</v>
      </c>
    </row>
    <row r="13" spans="1:12" ht="12.75">
      <c r="A13" s="347"/>
      <c r="B13" s="347"/>
      <c r="C13" s="133" t="s">
        <v>11</v>
      </c>
      <c r="D13" s="133">
        <v>1</v>
      </c>
      <c r="E13" s="94" t="s">
        <v>13</v>
      </c>
      <c r="F13" s="111">
        <v>820</v>
      </c>
      <c r="G13" s="31">
        <v>420</v>
      </c>
      <c r="H13" s="113">
        <v>170</v>
      </c>
      <c r="I13" s="145">
        <f t="shared" si="0"/>
        <v>0.058548</v>
      </c>
      <c r="J13" s="342"/>
      <c r="K13" s="71">
        <v>4.89</v>
      </c>
      <c r="L13" s="300"/>
    </row>
    <row r="14" spans="1:12" ht="13.5" thickBot="1">
      <c r="A14" s="348"/>
      <c r="B14" s="348"/>
      <c r="C14" s="155" t="s">
        <v>124</v>
      </c>
      <c r="D14" s="155">
        <v>1</v>
      </c>
      <c r="E14" s="105" t="s">
        <v>246</v>
      </c>
      <c r="F14" s="53">
        <f>790+30</f>
        <v>820</v>
      </c>
      <c r="G14" s="46">
        <f>425+30</f>
        <v>455</v>
      </c>
      <c r="H14" s="164">
        <f>70+30</f>
        <v>100</v>
      </c>
      <c r="I14" s="147">
        <f t="shared" si="0"/>
        <v>0.03731</v>
      </c>
      <c r="J14" s="343"/>
      <c r="K14" s="87">
        <v>11.02</v>
      </c>
      <c r="L14" s="301"/>
    </row>
    <row r="15" spans="1:12" ht="12.75">
      <c r="A15" s="346" t="s">
        <v>53</v>
      </c>
      <c r="B15" s="346">
        <v>4</v>
      </c>
      <c r="C15" s="132" t="s">
        <v>50</v>
      </c>
      <c r="D15" s="132">
        <v>1</v>
      </c>
      <c r="E15" s="179" t="s">
        <v>246</v>
      </c>
      <c r="F15" s="36">
        <f>820+30</f>
        <v>850</v>
      </c>
      <c r="G15" s="34">
        <f>460+30</f>
        <v>490</v>
      </c>
      <c r="H15" s="50">
        <f>1820+30</f>
        <v>1850</v>
      </c>
      <c r="I15" s="144">
        <f t="shared" si="0"/>
        <v>0.770525</v>
      </c>
      <c r="J15" s="344">
        <f>I15+I16+I17+I18</f>
        <v>0.889603</v>
      </c>
      <c r="K15" s="56">
        <v>53.07</v>
      </c>
      <c r="L15" s="299">
        <f>SUM(K15:K18)</f>
        <v>89.36</v>
      </c>
    </row>
    <row r="16" spans="1:12" ht="12.75">
      <c r="A16" s="347"/>
      <c r="B16" s="347"/>
      <c r="C16" s="133" t="s">
        <v>11</v>
      </c>
      <c r="D16" s="133">
        <v>1</v>
      </c>
      <c r="E16" s="94" t="s">
        <v>13</v>
      </c>
      <c r="F16" s="111">
        <v>820</v>
      </c>
      <c r="G16" s="31">
        <v>420</v>
      </c>
      <c r="H16" s="113">
        <v>170</v>
      </c>
      <c r="I16" s="145">
        <f t="shared" si="0"/>
        <v>0.058548</v>
      </c>
      <c r="J16" s="480"/>
      <c r="K16" s="71">
        <v>4.89</v>
      </c>
      <c r="L16" s="300"/>
    </row>
    <row r="17" spans="1:12" ht="12.75">
      <c r="A17" s="347"/>
      <c r="B17" s="347"/>
      <c r="C17" s="133" t="s">
        <v>124</v>
      </c>
      <c r="D17" s="133">
        <v>1</v>
      </c>
      <c r="E17" s="120" t="s">
        <v>246</v>
      </c>
      <c r="F17" s="111">
        <f>790+30</f>
        <v>820</v>
      </c>
      <c r="G17" s="31">
        <f>425+30</f>
        <v>455</v>
      </c>
      <c r="H17" s="113">
        <f>70+30</f>
        <v>100</v>
      </c>
      <c r="I17" s="145">
        <f>F17*G17*H17/1000000000</f>
        <v>0.03731</v>
      </c>
      <c r="J17" s="480"/>
      <c r="K17" s="71">
        <v>11.02</v>
      </c>
      <c r="L17" s="300"/>
    </row>
    <row r="18" spans="1:12" ht="13.5" thickBot="1">
      <c r="A18" s="349"/>
      <c r="B18" s="349"/>
      <c r="C18" s="173" t="s">
        <v>54</v>
      </c>
      <c r="D18" s="173">
        <v>1</v>
      </c>
      <c r="E18" s="121" t="s">
        <v>46</v>
      </c>
      <c r="F18" s="52">
        <v>1080</v>
      </c>
      <c r="G18" s="29">
        <v>430</v>
      </c>
      <c r="H18" s="39">
        <v>50</v>
      </c>
      <c r="I18" s="146">
        <f t="shared" si="0"/>
        <v>0.02322</v>
      </c>
      <c r="J18" s="481"/>
      <c r="K18" s="57">
        <v>20.38</v>
      </c>
      <c r="L18" s="410"/>
    </row>
    <row r="19" spans="1:12" ht="12.75" hidden="1">
      <c r="A19" s="346" t="s">
        <v>125</v>
      </c>
      <c r="B19" s="346">
        <v>3</v>
      </c>
      <c r="C19" s="132" t="s">
        <v>50</v>
      </c>
      <c r="D19" s="132">
        <v>1</v>
      </c>
      <c r="E19" s="179" t="s">
        <v>246</v>
      </c>
      <c r="F19" s="150">
        <f>820+30</f>
        <v>850</v>
      </c>
      <c r="G19" s="34">
        <f>460+30</f>
        <v>490</v>
      </c>
      <c r="H19" s="34">
        <f>980+30</f>
        <v>1010</v>
      </c>
      <c r="I19" s="35">
        <f t="shared" si="0"/>
        <v>0.420665</v>
      </c>
      <c r="J19" s="344">
        <f>I19+I20+I21</f>
        <v>0.5185285</v>
      </c>
      <c r="K19" s="56">
        <v>35.3</v>
      </c>
      <c r="L19" s="299">
        <f>SUM(K19:K21)</f>
        <v>64.42</v>
      </c>
    </row>
    <row r="20" spans="1:12" ht="12.75" hidden="1">
      <c r="A20" s="347"/>
      <c r="B20" s="347"/>
      <c r="C20" s="133" t="s">
        <v>11</v>
      </c>
      <c r="D20" s="133">
        <v>1</v>
      </c>
      <c r="E20" s="94" t="s">
        <v>13</v>
      </c>
      <c r="F20" s="110">
        <v>980</v>
      </c>
      <c r="G20" s="31">
        <v>450</v>
      </c>
      <c r="H20" s="31">
        <v>150</v>
      </c>
      <c r="I20" s="112">
        <f t="shared" si="0"/>
        <v>0.06615</v>
      </c>
      <c r="J20" s="342"/>
      <c r="K20" s="71">
        <v>21.46</v>
      </c>
      <c r="L20" s="300"/>
    </row>
    <row r="21" spans="1:12" ht="13.5" hidden="1" thickBot="1">
      <c r="A21" s="349"/>
      <c r="B21" s="349"/>
      <c r="C21" s="173" t="s">
        <v>124</v>
      </c>
      <c r="D21" s="173">
        <v>1</v>
      </c>
      <c r="E21" s="95" t="s">
        <v>246</v>
      </c>
      <c r="F21" s="171">
        <f>790+30</f>
        <v>820</v>
      </c>
      <c r="G21" s="29">
        <f>425+30</f>
        <v>455</v>
      </c>
      <c r="H21" s="29">
        <f>55+30</f>
        <v>85</v>
      </c>
      <c r="I21" s="30">
        <f t="shared" si="0"/>
        <v>0.0317135</v>
      </c>
      <c r="J21" s="345"/>
      <c r="K21" s="57">
        <v>7.66</v>
      </c>
      <c r="L21" s="410"/>
    </row>
    <row r="22" spans="1:12" ht="13.5" thickBot="1">
      <c r="A22" s="7"/>
      <c r="B22" s="7"/>
      <c r="C22" s="7"/>
      <c r="D22" s="7"/>
      <c r="E22" s="253"/>
      <c r="F22" s="4"/>
      <c r="G22" s="4"/>
      <c r="H22" s="4"/>
      <c r="I22" s="23"/>
      <c r="J22" s="4"/>
      <c r="K22" s="254"/>
      <c r="L22" s="254"/>
    </row>
    <row r="23" spans="1:12" ht="13.5" thickBot="1">
      <c r="A23" s="419" t="s">
        <v>264</v>
      </c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8"/>
    </row>
    <row r="24" spans="1:12" ht="12.75">
      <c r="A24" s="313" t="s">
        <v>3</v>
      </c>
      <c r="B24" s="330" t="s">
        <v>22</v>
      </c>
      <c r="C24" s="313" t="s">
        <v>10</v>
      </c>
      <c r="D24" s="313" t="s">
        <v>23</v>
      </c>
      <c r="E24" s="311" t="s">
        <v>8</v>
      </c>
      <c r="F24" s="313" t="s">
        <v>4</v>
      </c>
      <c r="G24" s="314"/>
      <c r="H24" s="314"/>
      <c r="I24" s="327" t="s">
        <v>5</v>
      </c>
      <c r="J24" s="327" t="s">
        <v>75</v>
      </c>
      <c r="K24" s="327" t="s">
        <v>76</v>
      </c>
      <c r="L24" s="495" t="s">
        <v>77</v>
      </c>
    </row>
    <row r="25" spans="1:12" ht="13.5" thickBot="1">
      <c r="A25" s="329"/>
      <c r="B25" s="331"/>
      <c r="C25" s="329"/>
      <c r="D25" s="329"/>
      <c r="E25" s="383"/>
      <c r="F25" s="137" t="s">
        <v>72</v>
      </c>
      <c r="G25" s="69" t="s">
        <v>70</v>
      </c>
      <c r="H25" s="170" t="s">
        <v>71</v>
      </c>
      <c r="I25" s="328"/>
      <c r="J25" s="328"/>
      <c r="K25" s="328"/>
      <c r="L25" s="496"/>
    </row>
    <row r="26" spans="1:12" ht="12.75">
      <c r="A26" s="346" t="s">
        <v>49</v>
      </c>
      <c r="B26" s="346">
        <v>2</v>
      </c>
      <c r="C26" s="132" t="s">
        <v>50</v>
      </c>
      <c r="D26" s="132">
        <v>1</v>
      </c>
      <c r="E26" s="264" t="s">
        <v>246</v>
      </c>
      <c r="F26" s="36">
        <f>1834+6-32+2</f>
        <v>1810</v>
      </c>
      <c r="G26" s="34">
        <f>876+4-32-3</f>
        <v>845</v>
      </c>
      <c r="H26" s="50">
        <f>172+8+16+4-32-16-2</f>
        <v>150</v>
      </c>
      <c r="I26" s="144">
        <f aca="true" t="shared" si="1" ref="I26:I36">F26*G26*H26/1000000000</f>
        <v>0.2294175</v>
      </c>
      <c r="J26" s="344">
        <f>I26+I27</f>
        <v>0.2879655</v>
      </c>
      <c r="K26" s="56">
        <f>63+42-42</f>
        <v>63</v>
      </c>
      <c r="L26" s="299">
        <f>SUM(K26:K27)</f>
        <v>67.89</v>
      </c>
    </row>
    <row r="27" spans="1:12" ht="13.5" thickBot="1">
      <c r="A27" s="348"/>
      <c r="B27" s="348"/>
      <c r="C27" s="155" t="s">
        <v>11</v>
      </c>
      <c r="D27" s="155">
        <v>1</v>
      </c>
      <c r="E27" s="126" t="s">
        <v>13</v>
      </c>
      <c r="F27" s="53">
        <v>820</v>
      </c>
      <c r="G27" s="46">
        <v>420</v>
      </c>
      <c r="H27" s="164">
        <v>170</v>
      </c>
      <c r="I27" s="147">
        <f t="shared" si="1"/>
        <v>0.058548</v>
      </c>
      <c r="J27" s="343"/>
      <c r="K27" s="87">
        <v>4.89</v>
      </c>
      <c r="L27" s="301"/>
    </row>
    <row r="28" spans="1:12" ht="12.75">
      <c r="A28" s="346" t="s">
        <v>51</v>
      </c>
      <c r="B28" s="346">
        <v>2</v>
      </c>
      <c r="C28" s="132" t="s">
        <v>50</v>
      </c>
      <c r="D28" s="132">
        <v>1</v>
      </c>
      <c r="E28" s="264" t="s">
        <v>246</v>
      </c>
      <c r="F28" s="36">
        <f>1834+6-32+2</f>
        <v>1810</v>
      </c>
      <c r="G28" s="34">
        <f>876+4-32-3</f>
        <v>845</v>
      </c>
      <c r="H28" s="50">
        <f>172+8+16+4-32-16-2</f>
        <v>150</v>
      </c>
      <c r="I28" s="144">
        <f t="shared" si="1"/>
        <v>0.2294175</v>
      </c>
      <c r="J28" s="344">
        <f>I28+I29</f>
        <v>0.2879655</v>
      </c>
      <c r="K28" s="56">
        <f>63+42-42+11</f>
        <v>74</v>
      </c>
      <c r="L28" s="299">
        <f>SUM(K28:K29)</f>
        <v>78.89</v>
      </c>
    </row>
    <row r="29" spans="1:12" ht="13.5" thickBot="1">
      <c r="A29" s="347"/>
      <c r="B29" s="347"/>
      <c r="C29" s="133" t="s">
        <v>11</v>
      </c>
      <c r="D29" s="133">
        <v>1</v>
      </c>
      <c r="E29" s="94" t="s">
        <v>13</v>
      </c>
      <c r="F29" s="111">
        <v>820</v>
      </c>
      <c r="G29" s="31">
        <v>420</v>
      </c>
      <c r="H29" s="113">
        <v>170</v>
      </c>
      <c r="I29" s="145">
        <f t="shared" si="1"/>
        <v>0.058548</v>
      </c>
      <c r="J29" s="342"/>
      <c r="K29" s="71">
        <v>4.89</v>
      </c>
      <c r="L29" s="300"/>
    </row>
    <row r="30" spans="1:12" ht="12.75">
      <c r="A30" s="346" t="s">
        <v>52</v>
      </c>
      <c r="B30" s="346">
        <v>2</v>
      </c>
      <c r="C30" s="132" t="s">
        <v>50</v>
      </c>
      <c r="D30" s="132">
        <v>1</v>
      </c>
      <c r="E30" s="264" t="s">
        <v>246</v>
      </c>
      <c r="F30" s="36">
        <f>1834+6-32+2</f>
        <v>1810</v>
      </c>
      <c r="G30" s="34">
        <f>876+4-32-3</f>
        <v>845</v>
      </c>
      <c r="H30" s="50">
        <f>172+8+16+4-32-16-2</f>
        <v>150</v>
      </c>
      <c r="I30" s="144">
        <f t="shared" si="1"/>
        <v>0.2294175</v>
      </c>
      <c r="J30" s="344">
        <f>I30+I31</f>
        <v>0.2879655</v>
      </c>
      <c r="K30" s="56">
        <f>63+42-42+11</f>
        <v>74</v>
      </c>
      <c r="L30" s="299">
        <f>SUM(K30:K31)</f>
        <v>78.89</v>
      </c>
    </row>
    <row r="31" spans="1:12" ht="13.5" thickBot="1">
      <c r="A31" s="347"/>
      <c r="B31" s="347"/>
      <c r="C31" s="133" t="s">
        <v>11</v>
      </c>
      <c r="D31" s="133">
        <v>1</v>
      </c>
      <c r="E31" s="94" t="s">
        <v>13</v>
      </c>
      <c r="F31" s="111">
        <v>820</v>
      </c>
      <c r="G31" s="31">
        <v>420</v>
      </c>
      <c r="H31" s="113">
        <v>170</v>
      </c>
      <c r="I31" s="145">
        <f t="shared" si="1"/>
        <v>0.058548</v>
      </c>
      <c r="J31" s="342"/>
      <c r="K31" s="71">
        <v>4.89</v>
      </c>
      <c r="L31" s="300"/>
    </row>
    <row r="32" spans="1:12" ht="12.75">
      <c r="A32" s="346" t="s">
        <v>136</v>
      </c>
      <c r="B32" s="346">
        <v>2</v>
      </c>
      <c r="C32" s="132" t="s">
        <v>50</v>
      </c>
      <c r="D32" s="132">
        <v>1</v>
      </c>
      <c r="E32" s="264" t="s">
        <v>246</v>
      </c>
      <c r="F32" s="36">
        <f>1834+6-32+2</f>
        <v>1810</v>
      </c>
      <c r="G32" s="34">
        <f>876+4-32-3</f>
        <v>845</v>
      </c>
      <c r="H32" s="50">
        <f>172+8+16+4-32-16-2</f>
        <v>150</v>
      </c>
      <c r="I32" s="144">
        <f t="shared" si="1"/>
        <v>0.2294175</v>
      </c>
      <c r="J32" s="344">
        <f>I32+I33</f>
        <v>0.2879655</v>
      </c>
      <c r="K32" s="56">
        <f>53+42-42+11</f>
        <v>64</v>
      </c>
      <c r="L32" s="299">
        <f>SUM(K32:K33)</f>
        <v>68.89</v>
      </c>
    </row>
    <row r="33" spans="1:12" ht="13.5" thickBot="1">
      <c r="A33" s="347"/>
      <c r="B33" s="347"/>
      <c r="C33" s="133" t="s">
        <v>11</v>
      </c>
      <c r="D33" s="133">
        <v>1</v>
      </c>
      <c r="E33" s="94" t="s">
        <v>13</v>
      </c>
      <c r="F33" s="111">
        <v>820</v>
      </c>
      <c r="G33" s="31">
        <v>420</v>
      </c>
      <c r="H33" s="113">
        <v>170</v>
      </c>
      <c r="I33" s="145">
        <f t="shared" si="1"/>
        <v>0.058548</v>
      </c>
      <c r="J33" s="342"/>
      <c r="K33" s="71">
        <v>4.89</v>
      </c>
      <c r="L33" s="300"/>
    </row>
    <row r="34" spans="1:12" ht="12.75">
      <c r="A34" s="346" t="s">
        <v>53</v>
      </c>
      <c r="B34" s="346">
        <v>3</v>
      </c>
      <c r="C34" s="132" t="s">
        <v>50</v>
      </c>
      <c r="D34" s="132">
        <v>1</v>
      </c>
      <c r="E34" s="264" t="s">
        <v>246</v>
      </c>
      <c r="F34" s="36">
        <f>1834+6-32+2</f>
        <v>1810</v>
      </c>
      <c r="G34" s="34">
        <f>876+4-32-3</f>
        <v>845</v>
      </c>
      <c r="H34" s="50">
        <f>172+8+16+4-32-16-2</f>
        <v>150</v>
      </c>
      <c r="I34" s="144">
        <f t="shared" si="1"/>
        <v>0.2294175</v>
      </c>
      <c r="J34" s="344">
        <f>I34+I35+I36</f>
        <v>0.3111855</v>
      </c>
      <c r="K34" s="56">
        <f>53+42-42+11</f>
        <v>64</v>
      </c>
      <c r="L34" s="299">
        <f>SUM(K34:K36)</f>
        <v>89.27</v>
      </c>
    </row>
    <row r="35" spans="1:12" ht="12.75">
      <c r="A35" s="347"/>
      <c r="B35" s="347"/>
      <c r="C35" s="133" t="s">
        <v>11</v>
      </c>
      <c r="D35" s="133">
        <v>1</v>
      </c>
      <c r="E35" s="94" t="s">
        <v>13</v>
      </c>
      <c r="F35" s="111">
        <v>820</v>
      </c>
      <c r="G35" s="31">
        <v>420</v>
      </c>
      <c r="H35" s="113">
        <v>170</v>
      </c>
      <c r="I35" s="145">
        <f t="shared" si="1"/>
        <v>0.058548</v>
      </c>
      <c r="J35" s="480"/>
      <c r="K35" s="71">
        <v>4.89</v>
      </c>
      <c r="L35" s="300"/>
    </row>
    <row r="36" spans="1:12" ht="13.5" thickBot="1">
      <c r="A36" s="349"/>
      <c r="B36" s="349"/>
      <c r="C36" s="173" t="s">
        <v>54</v>
      </c>
      <c r="D36" s="173">
        <v>1</v>
      </c>
      <c r="E36" s="121" t="s">
        <v>46</v>
      </c>
      <c r="F36" s="52">
        <v>1080</v>
      </c>
      <c r="G36" s="29">
        <v>430</v>
      </c>
      <c r="H36" s="39">
        <v>50</v>
      </c>
      <c r="I36" s="146">
        <f t="shared" si="1"/>
        <v>0.02322</v>
      </c>
      <c r="J36" s="481"/>
      <c r="K36" s="57">
        <v>20.38</v>
      </c>
      <c r="L36" s="410"/>
    </row>
    <row r="37" spans="1:12" ht="13.5" thickBot="1">
      <c r="A37" s="7"/>
      <c r="B37" s="7"/>
      <c r="C37" s="7"/>
      <c r="D37" s="7"/>
      <c r="E37" s="253"/>
      <c r="F37" s="4"/>
      <c r="G37" s="4"/>
      <c r="H37" s="4"/>
      <c r="I37" s="23"/>
      <c r="J37" s="4"/>
      <c r="K37" s="254"/>
      <c r="L37" s="254"/>
    </row>
    <row r="38" spans="1:12" ht="13.5" thickBot="1">
      <c r="A38" s="419" t="s">
        <v>99</v>
      </c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8"/>
    </row>
    <row r="39" spans="1:12" ht="12.75">
      <c r="A39" s="313" t="s">
        <v>3</v>
      </c>
      <c r="B39" s="330" t="s">
        <v>22</v>
      </c>
      <c r="C39" s="313" t="s">
        <v>10</v>
      </c>
      <c r="D39" s="313" t="s">
        <v>23</v>
      </c>
      <c r="E39" s="311" t="s">
        <v>8</v>
      </c>
      <c r="F39" s="313" t="s">
        <v>4</v>
      </c>
      <c r="G39" s="314"/>
      <c r="H39" s="314"/>
      <c r="I39" s="327" t="s">
        <v>5</v>
      </c>
      <c r="J39" s="327" t="s">
        <v>75</v>
      </c>
      <c r="K39" s="327" t="s">
        <v>76</v>
      </c>
      <c r="L39" s="495" t="s">
        <v>77</v>
      </c>
    </row>
    <row r="40" spans="1:12" ht="13.5" thickBot="1">
      <c r="A40" s="329"/>
      <c r="B40" s="331"/>
      <c r="C40" s="329"/>
      <c r="D40" s="329"/>
      <c r="E40" s="383"/>
      <c r="F40" s="137" t="s">
        <v>72</v>
      </c>
      <c r="G40" s="69" t="s">
        <v>70</v>
      </c>
      <c r="H40" s="170" t="s">
        <v>71</v>
      </c>
      <c r="I40" s="328"/>
      <c r="J40" s="328"/>
      <c r="K40" s="328"/>
      <c r="L40" s="496"/>
    </row>
    <row r="41" spans="1:12" ht="12.75">
      <c r="A41" s="346" t="s">
        <v>137</v>
      </c>
      <c r="B41" s="346">
        <v>2</v>
      </c>
      <c r="C41" s="132" t="s">
        <v>50</v>
      </c>
      <c r="D41" s="132">
        <v>1</v>
      </c>
      <c r="E41" s="179" t="s">
        <v>246</v>
      </c>
      <c r="F41" s="36">
        <f>420+30</f>
        <v>450</v>
      </c>
      <c r="G41" s="34">
        <f>460+30</f>
        <v>490</v>
      </c>
      <c r="H41" s="50">
        <f>1820+30</f>
        <v>1850</v>
      </c>
      <c r="I41" s="144">
        <f aca="true" t="shared" si="2" ref="I41:I55">F41*G41*H41/1000000000</f>
        <v>0.407925</v>
      </c>
      <c r="J41" s="344">
        <f>I41+I42</f>
        <v>0.437913</v>
      </c>
      <c r="K41" s="56">
        <v>40.13</v>
      </c>
      <c r="L41" s="299">
        <f>SUM(K41:K42)</f>
        <v>43.93</v>
      </c>
    </row>
    <row r="42" spans="1:12" ht="13.5" thickBot="1">
      <c r="A42" s="348"/>
      <c r="B42" s="348"/>
      <c r="C42" s="155" t="s">
        <v>11</v>
      </c>
      <c r="D42" s="155">
        <v>1</v>
      </c>
      <c r="E42" s="126" t="s">
        <v>13</v>
      </c>
      <c r="F42" s="52">
        <v>420</v>
      </c>
      <c r="G42" s="29">
        <v>420</v>
      </c>
      <c r="H42" s="39">
        <v>170</v>
      </c>
      <c r="I42" s="147">
        <f t="shared" si="2"/>
        <v>0.029988</v>
      </c>
      <c r="J42" s="343"/>
      <c r="K42" s="87">
        <v>3.8</v>
      </c>
      <c r="L42" s="301"/>
    </row>
    <row r="43" spans="1:12" ht="12.75">
      <c r="A43" s="346" t="s">
        <v>138</v>
      </c>
      <c r="B43" s="346">
        <v>3</v>
      </c>
      <c r="C43" s="132" t="s">
        <v>50</v>
      </c>
      <c r="D43" s="132">
        <v>1</v>
      </c>
      <c r="E43" s="179" t="s">
        <v>246</v>
      </c>
      <c r="F43" s="36">
        <f>420+30</f>
        <v>450</v>
      </c>
      <c r="G43" s="34">
        <f>460+30</f>
        <v>490</v>
      </c>
      <c r="H43" s="50">
        <f>1820+30</f>
        <v>1850</v>
      </c>
      <c r="I43" s="144">
        <f>F43*G43*H43/1000000000</f>
        <v>0.407925</v>
      </c>
      <c r="J43" s="344">
        <f>I43+I44+I45</f>
        <v>0.457023</v>
      </c>
      <c r="K43" s="56">
        <v>40.32</v>
      </c>
      <c r="L43" s="299">
        <f>SUM(K43:K45)</f>
        <v>49.769999999999996</v>
      </c>
    </row>
    <row r="44" spans="1:12" ht="12.75">
      <c r="A44" s="347"/>
      <c r="B44" s="347"/>
      <c r="C44" s="133" t="s">
        <v>11</v>
      </c>
      <c r="D44" s="133">
        <v>1</v>
      </c>
      <c r="E44" s="94" t="s">
        <v>13</v>
      </c>
      <c r="F44" s="111">
        <v>420</v>
      </c>
      <c r="G44" s="31">
        <v>420</v>
      </c>
      <c r="H44" s="113">
        <v>170</v>
      </c>
      <c r="I44" s="145">
        <f t="shared" si="2"/>
        <v>0.029988</v>
      </c>
      <c r="J44" s="342"/>
      <c r="K44" s="71">
        <v>3.8</v>
      </c>
      <c r="L44" s="300"/>
    </row>
    <row r="45" spans="1:12" ht="13.5" thickBot="1">
      <c r="A45" s="348"/>
      <c r="B45" s="348"/>
      <c r="C45" s="155" t="s">
        <v>124</v>
      </c>
      <c r="D45" s="155">
        <v>1</v>
      </c>
      <c r="E45" s="105" t="s">
        <v>246</v>
      </c>
      <c r="F45" s="52">
        <f>425+30</f>
        <v>455</v>
      </c>
      <c r="G45" s="29">
        <f>390+30</f>
        <v>420</v>
      </c>
      <c r="H45" s="39">
        <f>70+30</f>
        <v>100</v>
      </c>
      <c r="I45" s="147">
        <f t="shared" si="2"/>
        <v>0.01911</v>
      </c>
      <c r="J45" s="343"/>
      <c r="K45" s="87">
        <v>5.65</v>
      </c>
      <c r="L45" s="301"/>
    </row>
    <row r="46" spans="1:12" ht="12.75">
      <c r="A46" s="346" t="s">
        <v>139</v>
      </c>
      <c r="B46" s="346">
        <v>3</v>
      </c>
      <c r="C46" s="132" t="s">
        <v>50</v>
      </c>
      <c r="D46" s="132">
        <v>1</v>
      </c>
      <c r="E46" s="179" t="s">
        <v>246</v>
      </c>
      <c r="F46" s="36">
        <f>420+30</f>
        <v>450</v>
      </c>
      <c r="G46" s="34">
        <f>460+30</f>
        <v>490</v>
      </c>
      <c r="H46" s="50">
        <f>1820+30</f>
        <v>1850</v>
      </c>
      <c r="I46" s="144">
        <f>F46*G46*H46/1000000000</f>
        <v>0.407925</v>
      </c>
      <c r="J46" s="344">
        <f>I46+I47+I48</f>
        <v>0.457023</v>
      </c>
      <c r="K46" s="56">
        <v>40.05</v>
      </c>
      <c r="L46" s="299">
        <f>SUM(K46:K48)</f>
        <v>49.49999999999999</v>
      </c>
    </row>
    <row r="47" spans="1:12" ht="12.75">
      <c r="A47" s="347"/>
      <c r="B47" s="347"/>
      <c r="C47" s="133" t="s">
        <v>11</v>
      </c>
      <c r="D47" s="133">
        <v>1</v>
      </c>
      <c r="E47" s="94" t="s">
        <v>13</v>
      </c>
      <c r="F47" s="111">
        <v>420</v>
      </c>
      <c r="G47" s="31">
        <v>420</v>
      </c>
      <c r="H47" s="113">
        <v>170</v>
      </c>
      <c r="I47" s="145">
        <f t="shared" si="2"/>
        <v>0.029988</v>
      </c>
      <c r="J47" s="342"/>
      <c r="K47" s="71">
        <v>3.8</v>
      </c>
      <c r="L47" s="300"/>
    </row>
    <row r="48" spans="1:12" ht="13.5" thickBot="1">
      <c r="A48" s="348"/>
      <c r="B48" s="348"/>
      <c r="C48" s="155" t="s">
        <v>124</v>
      </c>
      <c r="D48" s="155">
        <v>1</v>
      </c>
      <c r="E48" s="105" t="s">
        <v>246</v>
      </c>
      <c r="F48" s="52">
        <f>425+30</f>
        <v>455</v>
      </c>
      <c r="G48" s="29">
        <f>390+30</f>
        <v>420</v>
      </c>
      <c r="H48" s="39">
        <f>70+30</f>
        <v>100</v>
      </c>
      <c r="I48" s="147">
        <f>F48*G48*H48/1000000000</f>
        <v>0.01911</v>
      </c>
      <c r="J48" s="343"/>
      <c r="K48" s="87">
        <v>5.65</v>
      </c>
      <c r="L48" s="301"/>
    </row>
    <row r="49" spans="1:12" ht="12.75">
      <c r="A49" s="346" t="s">
        <v>140</v>
      </c>
      <c r="B49" s="346">
        <v>3</v>
      </c>
      <c r="C49" s="132" t="s">
        <v>50</v>
      </c>
      <c r="D49" s="132">
        <v>1</v>
      </c>
      <c r="E49" s="179" t="s">
        <v>246</v>
      </c>
      <c r="F49" s="36">
        <f>420+30</f>
        <v>450</v>
      </c>
      <c r="G49" s="34">
        <f>460+30</f>
        <v>490</v>
      </c>
      <c r="H49" s="50">
        <f>1820+30</f>
        <v>1850</v>
      </c>
      <c r="I49" s="144">
        <f>F49*G49*H49/1000000000</f>
        <v>0.407925</v>
      </c>
      <c r="J49" s="344">
        <f>I49+I50+I51</f>
        <v>0.457023</v>
      </c>
      <c r="K49" s="56">
        <v>35</v>
      </c>
      <c r="L49" s="299">
        <f>SUM(K49:K51)</f>
        <v>44.449999999999996</v>
      </c>
    </row>
    <row r="50" spans="1:12" ht="12.75">
      <c r="A50" s="347"/>
      <c r="B50" s="347"/>
      <c r="C50" s="133" t="s">
        <v>11</v>
      </c>
      <c r="D50" s="133">
        <v>1</v>
      </c>
      <c r="E50" s="94" t="s">
        <v>13</v>
      </c>
      <c r="F50" s="111">
        <v>420</v>
      </c>
      <c r="G50" s="31">
        <v>420</v>
      </c>
      <c r="H50" s="113">
        <v>170</v>
      </c>
      <c r="I50" s="145">
        <f t="shared" si="2"/>
        <v>0.029988</v>
      </c>
      <c r="J50" s="342"/>
      <c r="K50" s="71">
        <v>3.8</v>
      </c>
      <c r="L50" s="300"/>
    </row>
    <row r="51" spans="1:12" ht="13.5" thickBot="1">
      <c r="A51" s="348"/>
      <c r="B51" s="348"/>
      <c r="C51" s="155" t="s">
        <v>124</v>
      </c>
      <c r="D51" s="155">
        <v>1</v>
      </c>
      <c r="E51" s="105" t="s">
        <v>246</v>
      </c>
      <c r="F51" s="52">
        <f>425+30</f>
        <v>455</v>
      </c>
      <c r="G51" s="29">
        <f>390+30</f>
        <v>420</v>
      </c>
      <c r="H51" s="39">
        <f>70+30</f>
        <v>100</v>
      </c>
      <c r="I51" s="147">
        <f>F51*G51*H51/1000000000</f>
        <v>0.01911</v>
      </c>
      <c r="J51" s="343"/>
      <c r="K51" s="87">
        <v>5.65</v>
      </c>
      <c r="L51" s="301"/>
    </row>
    <row r="52" spans="1:12" ht="12.75">
      <c r="A52" s="346" t="s">
        <v>141</v>
      </c>
      <c r="B52" s="346">
        <v>4</v>
      </c>
      <c r="C52" s="132" t="s">
        <v>50</v>
      </c>
      <c r="D52" s="132">
        <v>1</v>
      </c>
      <c r="E52" s="179" t="s">
        <v>246</v>
      </c>
      <c r="F52" s="36">
        <f>420+30</f>
        <v>450</v>
      </c>
      <c r="G52" s="34">
        <f>460+30</f>
        <v>490</v>
      </c>
      <c r="H52" s="50">
        <f>1820+30</f>
        <v>1850</v>
      </c>
      <c r="I52" s="144">
        <f>F52*G52*H52/1000000000</f>
        <v>0.407925</v>
      </c>
      <c r="J52" s="344">
        <f>I52+I53+I54+I55</f>
        <v>0.48024300000000003</v>
      </c>
      <c r="K52" s="56">
        <v>35.16</v>
      </c>
      <c r="L52" s="299">
        <f>SUM(K52:K55)</f>
        <v>60.68999999999999</v>
      </c>
    </row>
    <row r="53" spans="1:12" ht="12.75">
      <c r="A53" s="347"/>
      <c r="B53" s="347"/>
      <c r="C53" s="133" t="s">
        <v>11</v>
      </c>
      <c r="D53" s="133">
        <v>1</v>
      </c>
      <c r="E53" s="94" t="s">
        <v>13</v>
      </c>
      <c r="F53" s="111">
        <v>420</v>
      </c>
      <c r="G53" s="31">
        <v>420</v>
      </c>
      <c r="H53" s="113">
        <v>170</v>
      </c>
      <c r="I53" s="145">
        <f t="shared" si="2"/>
        <v>0.029988</v>
      </c>
      <c r="J53" s="480"/>
      <c r="K53" s="71">
        <v>3.8</v>
      </c>
      <c r="L53" s="300"/>
    </row>
    <row r="54" spans="1:12" ht="12.75">
      <c r="A54" s="347"/>
      <c r="B54" s="347"/>
      <c r="C54" s="133" t="s">
        <v>124</v>
      </c>
      <c r="D54" s="133">
        <v>1</v>
      </c>
      <c r="E54" s="120" t="s">
        <v>246</v>
      </c>
      <c r="F54" s="111">
        <f>425+30</f>
        <v>455</v>
      </c>
      <c r="G54" s="31">
        <f>390+30</f>
        <v>420</v>
      </c>
      <c r="H54" s="113">
        <f>70+30</f>
        <v>100</v>
      </c>
      <c r="I54" s="145">
        <f>F54*G54*H54/1000000000</f>
        <v>0.01911</v>
      </c>
      <c r="J54" s="480"/>
      <c r="K54" s="71">
        <v>5.65</v>
      </c>
      <c r="L54" s="300"/>
    </row>
    <row r="55" spans="1:12" ht="13.5" thickBot="1">
      <c r="A55" s="349"/>
      <c r="B55" s="349"/>
      <c r="C55" s="173" t="s">
        <v>185</v>
      </c>
      <c r="D55" s="173">
        <v>1</v>
      </c>
      <c r="E55" s="121" t="s">
        <v>46</v>
      </c>
      <c r="F55" s="52">
        <v>1080</v>
      </c>
      <c r="G55" s="29">
        <v>430</v>
      </c>
      <c r="H55" s="39">
        <v>50</v>
      </c>
      <c r="I55" s="146">
        <f t="shared" si="2"/>
        <v>0.02322</v>
      </c>
      <c r="J55" s="481"/>
      <c r="K55" s="57">
        <v>16.08</v>
      </c>
      <c r="L55" s="410"/>
    </row>
    <row r="56" spans="1:12" ht="12.75">
      <c r="A56" s="7"/>
      <c r="B56" s="7"/>
      <c r="C56" s="7"/>
      <c r="D56" s="7"/>
      <c r="E56" s="7"/>
      <c r="F56" s="7"/>
      <c r="G56" s="7"/>
      <c r="H56" s="7"/>
      <c r="I56" s="9"/>
      <c r="J56" s="7"/>
      <c r="K56" s="11"/>
      <c r="L56" s="7"/>
    </row>
    <row r="57" spans="1:12" ht="13.5" thickBot="1">
      <c r="A57" s="7"/>
      <c r="B57" s="7"/>
      <c r="C57" s="7"/>
      <c r="D57" s="7"/>
      <c r="E57" s="7"/>
      <c r="F57" s="7"/>
      <c r="G57" s="7"/>
      <c r="H57" s="7"/>
      <c r="I57" s="7"/>
      <c r="J57" s="9"/>
      <c r="K57" s="7"/>
      <c r="L57" s="7"/>
    </row>
    <row r="58" spans="1:12" ht="13.5" thickBot="1">
      <c r="A58" s="419" t="s">
        <v>123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8"/>
    </row>
    <row r="59" spans="1:12" ht="12.75">
      <c r="A59" s="313" t="s">
        <v>3</v>
      </c>
      <c r="B59" s="330" t="s">
        <v>22</v>
      </c>
      <c r="C59" s="313" t="s">
        <v>10</v>
      </c>
      <c r="D59" s="313" t="s">
        <v>23</v>
      </c>
      <c r="E59" s="311" t="s">
        <v>8</v>
      </c>
      <c r="F59" s="313" t="s">
        <v>4</v>
      </c>
      <c r="G59" s="314"/>
      <c r="H59" s="314"/>
      <c r="I59" s="327" t="s">
        <v>5</v>
      </c>
      <c r="J59" s="327" t="s">
        <v>75</v>
      </c>
      <c r="K59" s="327" t="s">
        <v>76</v>
      </c>
      <c r="L59" s="495" t="s">
        <v>77</v>
      </c>
    </row>
    <row r="60" spans="1:12" ht="13.5" thickBot="1">
      <c r="A60" s="329"/>
      <c r="B60" s="331"/>
      <c r="C60" s="329"/>
      <c r="D60" s="329"/>
      <c r="E60" s="383"/>
      <c r="F60" s="137" t="s">
        <v>72</v>
      </c>
      <c r="G60" s="69" t="s">
        <v>70</v>
      </c>
      <c r="H60" s="170" t="s">
        <v>71</v>
      </c>
      <c r="I60" s="328"/>
      <c r="J60" s="328"/>
      <c r="K60" s="328"/>
      <c r="L60" s="496"/>
    </row>
    <row r="61" spans="1:12" ht="12.75">
      <c r="A61" s="346" t="s">
        <v>126</v>
      </c>
      <c r="B61" s="346">
        <v>2</v>
      </c>
      <c r="C61" s="132" t="s">
        <v>50</v>
      </c>
      <c r="D61" s="132">
        <v>1</v>
      </c>
      <c r="E61" s="91" t="s">
        <v>46</v>
      </c>
      <c r="F61" s="36">
        <v>645</v>
      </c>
      <c r="G61" s="34">
        <v>565</v>
      </c>
      <c r="H61" s="50">
        <v>1925</v>
      </c>
      <c r="I61" s="144">
        <f>F61*G61*H61/1000000000</f>
        <v>0.701518125</v>
      </c>
      <c r="J61" s="344">
        <f>I61+I62</f>
        <v>0.741502125</v>
      </c>
      <c r="K61" s="56">
        <v>167.86</v>
      </c>
      <c r="L61" s="299">
        <f>K61+K62</f>
        <v>171.51000000000002</v>
      </c>
    </row>
    <row r="62" spans="1:12" ht="13.5" thickBot="1">
      <c r="A62" s="349"/>
      <c r="B62" s="349"/>
      <c r="C62" s="173" t="s">
        <v>11</v>
      </c>
      <c r="D62" s="173">
        <v>1</v>
      </c>
      <c r="E62" s="121" t="s">
        <v>13</v>
      </c>
      <c r="F62" s="52">
        <v>560</v>
      </c>
      <c r="G62" s="29">
        <v>420</v>
      </c>
      <c r="H62" s="39">
        <v>170</v>
      </c>
      <c r="I62" s="146">
        <f>F62*G62*H62/1000000000</f>
        <v>0.039984</v>
      </c>
      <c r="J62" s="345"/>
      <c r="K62" s="57">
        <v>3.65</v>
      </c>
      <c r="L62" s="410"/>
    </row>
    <row r="63" spans="1:12" ht="13.5" thickBot="1">
      <c r="A63" s="7"/>
      <c r="B63" s="7"/>
      <c r="C63" s="7"/>
      <c r="D63" s="7"/>
      <c r="E63" s="7"/>
      <c r="F63" s="7"/>
      <c r="G63" s="7"/>
      <c r="H63" s="7"/>
      <c r="I63" s="9"/>
      <c r="J63" s="7"/>
      <c r="K63" s="7"/>
      <c r="L63" s="7"/>
    </row>
    <row r="64" spans="1:15" ht="13.5" thickBot="1">
      <c r="A64" s="419" t="s">
        <v>146</v>
      </c>
      <c r="B64" s="377"/>
      <c r="C64" s="377"/>
      <c r="D64" s="377"/>
      <c r="E64" s="377"/>
      <c r="F64" s="377"/>
      <c r="G64" s="377"/>
      <c r="H64" s="377"/>
      <c r="I64" s="377"/>
      <c r="J64" s="377"/>
      <c r="K64" s="309"/>
      <c r="L64" s="18"/>
      <c r="M64" s="18"/>
      <c r="N64" s="18"/>
      <c r="O64" s="18"/>
    </row>
    <row r="65" spans="1:15" ht="12.75">
      <c r="A65" s="313" t="s">
        <v>3</v>
      </c>
      <c r="B65" s="330" t="s">
        <v>22</v>
      </c>
      <c r="C65" s="313" t="s">
        <v>10</v>
      </c>
      <c r="D65" s="313" t="s">
        <v>23</v>
      </c>
      <c r="E65" s="311" t="s">
        <v>8</v>
      </c>
      <c r="F65" s="313" t="s">
        <v>4</v>
      </c>
      <c r="G65" s="314"/>
      <c r="H65" s="314"/>
      <c r="I65" s="327" t="s">
        <v>87</v>
      </c>
      <c r="J65" s="327" t="s">
        <v>86</v>
      </c>
      <c r="K65" s="311" t="s">
        <v>76</v>
      </c>
      <c r="L65" s="17"/>
      <c r="M65" s="17"/>
      <c r="N65" s="17"/>
      <c r="O65" s="17"/>
    </row>
    <row r="66" spans="1:15" ht="25.5" customHeight="1" thickBot="1">
      <c r="A66" s="337"/>
      <c r="B66" s="331"/>
      <c r="C66" s="329"/>
      <c r="D66" s="337"/>
      <c r="E66" s="383"/>
      <c r="F66" s="128" t="s">
        <v>72</v>
      </c>
      <c r="G66" s="70" t="s">
        <v>70</v>
      </c>
      <c r="H66" s="130" t="s">
        <v>71</v>
      </c>
      <c r="I66" s="358"/>
      <c r="J66" s="358"/>
      <c r="K66" s="388"/>
      <c r="L66" s="16"/>
      <c r="M66" s="16"/>
      <c r="N66" s="16"/>
      <c r="O66" s="16"/>
    </row>
    <row r="67" spans="1:15" ht="13.5" thickBot="1">
      <c r="A67" s="200" t="s">
        <v>142</v>
      </c>
      <c r="B67" s="177">
        <v>1</v>
      </c>
      <c r="C67" s="205" t="s">
        <v>153</v>
      </c>
      <c r="D67" s="85">
        <v>1</v>
      </c>
      <c r="E67" s="181" t="s">
        <v>246</v>
      </c>
      <c r="F67" s="206">
        <f>920+30</f>
        <v>950</v>
      </c>
      <c r="G67" s="22">
        <f>340+30</f>
        <v>370</v>
      </c>
      <c r="H67" s="187">
        <f>720+30</f>
        <v>750</v>
      </c>
      <c r="I67" s="74">
        <f>F67*G67*H67/1000000000</f>
        <v>0.263625</v>
      </c>
      <c r="J67" s="42">
        <f>I67</f>
        <v>0.263625</v>
      </c>
      <c r="K67" s="79">
        <v>22.94</v>
      </c>
      <c r="L67" s="7"/>
      <c r="M67" s="15"/>
      <c r="N67" s="7"/>
      <c r="O67" s="7"/>
    </row>
    <row r="68" spans="1:15" ht="13.5" thickBot="1">
      <c r="A68" s="201" t="s">
        <v>143</v>
      </c>
      <c r="B68" s="177">
        <v>1</v>
      </c>
      <c r="C68" s="205" t="s">
        <v>153</v>
      </c>
      <c r="D68" s="151">
        <v>1</v>
      </c>
      <c r="E68" s="181" t="s">
        <v>246</v>
      </c>
      <c r="F68" s="119">
        <f>1220+30</f>
        <v>1250</v>
      </c>
      <c r="G68" s="32">
        <f>340+30</f>
        <v>370</v>
      </c>
      <c r="H68" s="100">
        <f>720+30</f>
        <v>750</v>
      </c>
      <c r="I68" s="141">
        <f>F68*G68*H68/1000000000</f>
        <v>0.346875</v>
      </c>
      <c r="J68" s="42">
        <f>I68</f>
        <v>0.346875</v>
      </c>
      <c r="K68" s="45">
        <v>26.87</v>
      </c>
      <c r="L68" s="7"/>
      <c r="M68" s="15"/>
      <c r="N68" s="7"/>
      <c r="O68" s="7"/>
    </row>
    <row r="69" spans="1:15" ht="13.5" thickBot="1">
      <c r="A69" s="202" t="s">
        <v>144</v>
      </c>
      <c r="B69" s="177">
        <v>1</v>
      </c>
      <c r="C69" s="205" t="s">
        <v>153</v>
      </c>
      <c r="D69" s="151">
        <v>1</v>
      </c>
      <c r="E69" s="181" t="s">
        <v>246</v>
      </c>
      <c r="F69" s="119">
        <f>1520+30</f>
        <v>1550</v>
      </c>
      <c r="G69" s="32">
        <f>340+30</f>
        <v>370</v>
      </c>
      <c r="H69" s="100">
        <f>720+30</f>
        <v>750</v>
      </c>
      <c r="I69" s="141">
        <f>F69*G69*H69/1000000000</f>
        <v>0.430125</v>
      </c>
      <c r="J69" s="42">
        <f>I69</f>
        <v>0.430125</v>
      </c>
      <c r="K69" s="45">
        <v>35.62</v>
      </c>
      <c r="L69" s="7"/>
      <c r="M69" s="15"/>
      <c r="N69" s="7"/>
      <c r="O69" s="7"/>
    </row>
    <row r="70" spans="1:15" ht="13.5" thickBot="1">
      <c r="A70" s="203" t="s">
        <v>145</v>
      </c>
      <c r="B70" s="178">
        <v>1</v>
      </c>
      <c r="C70" s="204" t="s">
        <v>153</v>
      </c>
      <c r="D70" s="151">
        <v>1</v>
      </c>
      <c r="E70" s="180" t="s">
        <v>246</v>
      </c>
      <c r="F70" s="119">
        <f>1820+30</f>
        <v>1850</v>
      </c>
      <c r="G70" s="32">
        <f>340+30</f>
        <v>370</v>
      </c>
      <c r="H70" s="100">
        <f>720+30</f>
        <v>750</v>
      </c>
      <c r="I70" s="141">
        <f>F70*G70*H70/1000000000</f>
        <v>0.513375</v>
      </c>
      <c r="J70" s="42">
        <f>I70</f>
        <v>0.513375</v>
      </c>
      <c r="K70" s="45">
        <v>40.1</v>
      </c>
      <c r="L70" s="7"/>
      <c r="M70" s="15"/>
      <c r="N70" s="7"/>
      <c r="O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9"/>
      <c r="J71" s="7"/>
      <c r="K71" s="7"/>
      <c r="L71" s="7"/>
    </row>
    <row r="72" ht="13.5" thickBot="1"/>
    <row r="73" spans="1:12" ht="13.5" thickBot="1">
      <c r="A73" s="419" t="s">
        <v>100</v>
      </c>
      <c r="B73" s="377"/>
      <c r="C73" s="377"/>
      <c r="D73" s="377"/>
      <c r="E73" s="377"/>
      <c r="F73" s="377"/>
      <c r="G73" s="377"/>
      <c r="H73" s="377"/>
      <c r="I73" s="377"/>
      <c r="J73" s="377"/>
      <c r="K73" s="377"/>
      <c r="L73" s="378"/>
    </row>
    <row r="74" spans="1:13" ht="12.75">
      <c r="A74" s="313" t="s">
        <v>3</v>
      </c>
      <c r="B74" s="330" t="s">
        <v>22</v>
      </c>
      <c r="C74" s="313" t="s">
        <v>10</v>
      </c>
      <c r="D74" s="313" t="s">
        <v>23</v>
      </c>
      <c r="E74" s="311" t="s">
        <v>8</v>
      </c>
      <c r="F74" s="313" t="s">
        <v>4</v>
      </c>
      <c r="G74" s="314"/>
      <c r="H74" s="314"/>
      <c r="I74" s="327" t="s">
        <v>5</v>
      </c>
      <c r="J74" s="327" t="s">
        <v>75</v>
      </c>
      <c r="K74" s="327" t="s">
        <v>76</v>
      </c>
      <c r="L74" s="495" t="s">
        <v>77</v>
      </c>
      <c r="M74" s="500"/>
    </row>
    <row r="75" spans="1:13" ht="13.5" thickBot="1">
      <c r="A75" s="329"/>
      <c r="B75" s="331"/>
      <c r="C75" s="329"/>
      <c r="D75" s="329"/>
      <c r="E75" s="383"/>
      <c r="F75" s="137" t="s">
        <v>72</v>
      </c>
      <c r="G75" s="69" t="s">
        <v>70</v>
      </c>
      <c r="H75" s="170" t="s">
        <v>71</v>
      </c>
      <c r="I75" s="328"/>
      <c r="J75" s="328"/>
      <c r="K75" s="328"/>
      <c r="L75" s="496"/>
      <c r="M75" s="500"/>
    </row>
    <row r="76" spans="1:12" ht="12.75">
      <c r="A76" s="346" t="s">
        <v>49</v>
      </c>
      <c r="B76" s="346">
        <v>2</v>
      </c>
      <c r="C76" s="132" t="s">
        <v>50</v>
      </c>
      <c r="D76" s="132">
        <v>1</v>
      </c>
      <c r="E76" s="91" t="s">
        <v>46</v>
      </c>
      <c r="F76" s="36">
        <v>845</v>
      </c>
      <c r="G76" s="34">
        <v>500</v>
      </c>
      <c r="H76" s="50">
        <v>1850</v>
      </c>
      <c r="I76" s="144">
        <f aca="true" t="shared" si="3" ref="I76:I83">F76*G76*H76/1000000000</f>
        <v>0.781625</v>
      </c>
      <c r="J76" s="344">
        <f>I76+I77</f>
        <v>0.8401730000000001</v>
      </c>
      <c r="K76" s="56">
        <v>122.28</v>
      </c>
      <c r="L76" s="299">
        <f>SUM(K76:K77)</f>
        <v>127.17</v>
      </c>
    </row>
    <row r="77" spans="1:12" ht="13.5" thickBot="1">
      <c r="A77" s="348"/>
      <c r="B77" s="348"/>
      <c r="C77" s="155" t="s">
        <v>11</v>
      </c>
      <c r="D77" s="155">
        <v>1</v>
      </c>
      <c r="E77" s="126" t="s">
        <v>13</v>
      </c>
      <c r="F77" s="52">
        <v>820</v>
      </c>
      <c r="G77" s="29">
        <v>420</v>
      </c>
      <c r="H77" s="39">
        <v>170</v>
      </c>
      <c r="I77" s="147">
        <f t="shared" si="3"/>
        <v>0.058548</v>
      </c>
      <c r="J77" s="493"/>
      <c r="K77" s="87">
        <v>4.89</v>
      </c>
      <c r="L77" s="301"/>
    </row>
    <row r="78" spans="1:12" ht="12.75">
      <c r="A78" s="346" t="s">
        <v>51</v>
      </c>
      <c r="B78" s="346">
        <v>2</v>
      </c>
      <c r="C78" s="132" t="s">
        <v>50</v>
      </c>
      <c r="D78" s="132">
        <v>1</v>
      </c>
      <c r="E78" s="91" t="s">
        <v>46</v>
      </c>
      <c r="F78" s="36">
        <v>845</v>
      </c>
      <c r="G78" s="34">
        <v>500</v>
      </c>
      <c r="H78" s="50">
        <v>1920</v>
      </c>
      <c r="I78" s="144">
        <f t="shared" si="3"/>
        <v>0.8112</v>
      </c>
      <c r="J78" s="344">
        <f>I78+I79</f>
        <v>0.8697480000000001</v>
      </c>
      <c r="K78" s="56">
        <v>120.28</v>
      </c>
      <c r="L78" s="299">
        <f>SUM(K78:K79)</f>
        <v>125.17</v>
      </c>
    </row>
    <row r="79" spans="1:12" ht="13.5" thickBot="1">
      <c r="A79" s="348"/>
      <c r="B79" s="348"/>
      <c r="C79" s="155" t="s">
        <v>11</v>
      </c>
      <c r="D79" s="155">
        <v>1</v>
      </c>
      <c r="E79" s="126" t="s">
        <v>13</v>
      </c>
      <c r="F79" s="52">
        <v>820</v>
      </c>
      <c r="G79" s="29">
        <v>420</v>
      </c>
      <c r="H79" s="39">
        <v>170</v>
      </c>
      <c r="I79" s="147">
        <f t="shared" si="3"/>
        <v>0.058548</v>
      </c>
      <c r="J79" s="493"/>
      <c r="K79" s="87">
        <v>4.89</v>
      </c>
      <c r="L79" s="301"/>
    </row>
    <row r="80" spans="1:12" ht="12.75">
      <c r="A80" s="346" t="s">
        <v>52</v>
      </c>
      <c r="B80" s="346">
        <v>2</v>
      </c>
      <c r="C80" s="132" t="s">
        <v>50</v>
      </c>
      <c r="D80" s="132">
        <v>1</v>
      </c>
      <c r="E80" s="91" t="s">
        <v>46</v>
      </c>
      <c r="F80" s="36">
        <v>845</v>
      </c>
      <c r="G80" s="34">
        <v>500</v>
      </c>
      <c r="H80" s="50">
        <v>1920</v>
      </c>
      <c r="I80" s="144">
        <f t="shared" si="3"/>
        <v>0.8112</v>
      </c>
      <c r="J80" s="344">
        <f>I80+I81</f>
        <v>0.8697480000000001</v>
      </c>
      <c r="K80" s="56">
        <v>122.28</v>
      </c>
      <c r="L80" s="299">
        <f>SUM(K80:K81)</f>
        <v>127.17</v>
      </c>
    </row>
    <row r="81" spans="1:12" ht="13.5" thickBot="1">
      <c r="A81" s="348"/>
      <c r="B81" s="348"/>
      <c r="C81" s="155" t="s">
        <v>11</v>
      </c>
      <c r="D81" s="155">
        <v>1</v>
      </c>
      <c r="E81" s="126" t="s">
        <v>13</v>
      </c>
      <c r="F81" s="52">
        <v>820</v>
      </c>
      <c r="G81" s="29">
        <v>420</v>
      </c>
      <c r="H81" s="39">
        <v>170</v>
      </c>
      <c r="I81" s="147">
        <f t="shared" si="3"/>
        <v>0.058548</v>
      </c>
      <c r="J81" s="493"/>
      <c r="K81" s="87">
        <v>4.89</v>
      </c>
      <c r="L81" s="301"/>
    </row>
    <row r="82" spans="1:12" ht="12.75">
      <c r="A82" s="346" t="s">
        <v>53</v>
      </c>
      <c r="B82" s="346">
        <v>2</v>
      </c>
      <c r="C82" s="132" t="s">
        <v>50</v>
      </c>
      <c r="D82" s="132">
        <v>1</v>
      </c>
      <c r="E82" s="91" t="s">
        <v>46</v>
      </c>
      <c r="F82" s="36">
        <v>845</v>
      </c>
      <c r="G82" s="34">
        <v>500</v>
      </c>
      <c r="H82" s="50">
        <v>1920</v>
      </c>
      <c r="I82" s="144">
        <f t="shared" si="3"/>
        <v>0.8112</v>
      </c>
      <c r="J82" s="344">
        <f>I82+I83</f>
        <v>0.8697480000000001</v>
      </c>
      <c r="K82" s="56">
        <v>122.28</v>
      </c>
      <c r="L82" s="299">
        <f>SUM(K82:K83)</f>
        <v>127.17</v>
      </c>
    </row>
    <row r="83" spans="1:12" ht="13.5" thickBot="1">
      <c r="A83" s="349"/>
      <c r="B83" s="349"/>
      <c r="C83" s="173" t="s">
        <v>11</v>
      </c>
      <c r="D83" s="173">
        <v>1</v>
      </c>
      <c r="E83" s="121" t="s">
        <v>13</v>
      </c>
      <c r="F83" s="52">
        <v>820</v>
      </c>
      <c r="G83" s="29">
        <v>420</v>
      </c>
      <c r="H83" s="39">
        <v>170</v>
      </c>
      <c r="I83" s="146">
        <f t="shared" si="3"/>
        <v>0.058548</v>
      </c>
      <c r="J83" s="481"/>
      <c r="K83" s="57">
        <v>4.89</v>
      </c>
      <c r="L83" s="410"/>
    </row>
    <row r="84" ht="13.5" thickBot="1"/>
    <row r="85" spans="1:12" ht="13.5" thickBot="1">
      <c r="A85" s="419" t="s">
        <v>147</v>
      </c>
      <c r="B85" s="377"/>
      <c r="C85" s="377"/>
      <c r="D85" s="377"/>
      <c r="E85" s="377"/>
      <c r="F85" s="377"/>
      <c r="G85" s="377"/>
      <c r="H85" s="377"/>
      <c r="I85" s="377"/>
      <c r="J85" s="377"/>
      <c r="K85" s="377"/>
      <c r="L85" s="378"/>
    </row>
    <row r="86" spans="1:12" ht="12.75">
      <c r="A86" s="313" t="s">
        <v>3</v>
      </c>
      <c r="B86" s="330" t="s">
        <v>22</v>
      </c>
      <c r="C86" s="313" t="s">
        <v>10</v>
      </c>
      <c r="D86" s="313" t="s">
        <v>23</v>
      </c>
      <c r="E86" s="311" t="s">
        <v>8</v>
      </c>
      <c r="F86" s="313" t="s">
        <v>4</v>
      </c>
      <c r="G86" s="314"/>
      <c r="H86" s="314"/>
      <c r="I86" s="327" t="s">
        <v>5</v>
      </c>
      <c r="J86" s="327" t="s">
        <v>75</v>
      </c>
      <c r="K86" s="327" t="s">
        <v>76</v>
      </c>
      <c r="L86" s="495" t="s">
        <v>77</v>
      </c>
    </row>
    <row r="87" spans="1:12" ht="13.5" thickBot="1">
      <c r="A87" s="329"/>
      <c r="B87" s="331"/>
      <c r="C87" s="329"/>
      <c r="D87" s="329"/>
      <c r="E87" s="383"/>
      <c r="F87" s="137" t="s">
        <v>72</v>
      </c>
      <c r="G87" s="69" t="s">
        <v>70</v>
      </c>
      <c r="H87" s="170" t="s">
        <v>71</v>
      </c>
      <c r="I87" s="328"/>
      <c r="J87" s="328"/>
      <c r="K87" s="328"/>
      <c r="L87" s="496"/>
    </row>
    <row r="88" spans="1:12" ht="12.75">
      <c r="A88" s="346" t="s">
        <v>49</v>
      </c>
      <c r="B88" s="346">
        <v>2</v>
      </c>
      <c r="C88" s="132" t="s">
        <v>50</v>
      </c>
      <c r="D88" s="132">
        <v>1</v>
      </c>
      <c r="E88" s="91" t="s">
        <v>46</v>
      </c>
      <c r="F88" s="36">
        <f>1850+32+8</f>
        <v>1890</v>
      </c>
      <c r="G88" s="34">
        <f>450+32+8</f>
        <v>490</v>
      </c>
      <c r="H88" s="50">
        <v>190</v>
      </c>
      <c r="I88" s="144">
        <f aca="true" t="shared" si="4" ref="I88:I96">F88*G88*H88/1000000000</f>
        <v>0.175959</v>
      </c>
      <c r="J88" s="344">
        <f>I88+I89</f>
        <v>0.23450700000000002</v>
      </c>
      <c r="K88" s="56">
        <f>57+24</f>
        <v>81</v>
      </c>
      <c r="L88" s="299">
        <f>SUM(K88:K89)</f>
        <v>85.89</v>
      </c>
    </row>
    <row r="89" spans="1:12" ht="13.5" thickBot="1">
      <c r="A89" s="348"/>
      <c r="B89" s="348"/>
      <c r="C89" s="155" t="s">
        <v>11</v>
      </c>
      <c r="D89" s="155">
        <v>1</v>
      </c>
      <c r="E89" s="126" t="s">
        <v>13</v>
      </c>
      <c r="F89" s="52">
        <v>820</v>
      </c>
      <c r="G89" s="29">
        <v>420</v>
      </c>
      <c r="H89" s="39">
        <v>170</v>
      </c>
      <c r="I89" s="147">
        <f t="shared" si="4"/>
        <v>0.058548</v>
      </c>
      <c r="J89" s="493"/>
      <c r="K89" s="87">
        <v>4.89</v>
      </c>
      <c r="L89" s="301"/>
    </row>
    <row r="90" spans="1:12" ht="12.75">
      <c r="A90" s="346" t="s">
        <v>51</v>
      </c>
      <c r="B90" s="346">
        <v>2</v>
      </c>
      <c r="C90" s="132" t="s">
        <v>50</v>
      </c>
      <c r="D90" s="132">
        <v>1</v>
      </c>
      <c r="E90" s="91" t="s">
        <v>46</v>
      </c>
      <c r="F90" s="36">
        <f>1850+32+8</f>
        <v>1890</v>
      </c>
      <c r="G90" s="34">
        <f>450+32+8</f>
        <v>490</v>
      </c>
      <c r="H90" s="50">
        <v>190</v>
      </c>
      <c r="I90" s="144">
        <f>F90*G90*H90/1000000000</f>
        <v>0.175959</v>
      </c>
      <c r="J90" s="344">
        <f>I90+I91</f>
        <v>0.23450700000000002</v>
      </c>
      <c r="K90" s="56">
        <f>55+24</f>
        <v>79</v>
      </c>
      <c r="L90" s="299">
        <f>SUM(K90:K91)</f>
        <v>83.89</v>
      </c>
    </row>
    <row r="91" spans="1:12" ht="13.5" thickBot="1">
      <c r="A91" s="348"/>
      <c r="B91" s="348"/>
      <c r="C91" s="155" t="s">
        <v>11</v>
      </c>
      <c r="D91" s="155">
        <v>1</v>
      </c>
      <c r="E91" s="126" t="s">
        <v>13</v>
      </c>
      <c r="F91" s="52">
        <v>820</v>
      </c>
      <c r="G91" s="29">
        <v>420</v>
      </c>
      <c r="H91" s="39">
        <v>170</v>
      </c>
      <c r="I91" s="147">
        <f t="shared" si="4"/>
        <v>0.058548</v>
      </c>
      <c r="J91" s="493"/>
      <c r="K91" s="87">
        <v>4.89</v>
      </c>
      <c r="L91" s="301"/>
    </row>
    <row r="92" spans="1:12" ht="12.75">
      <c r="A92" s="346" t="s">
        <v>52</v>
      </c>
      <c r="B92" s="346">
        <v>2</v>
      </c>
      <c r="C92" s="132" t="s">
        <v>50</v>
      </c>
      <c r="D92" s="132">
        <v>1</v>
      </c>
      <c r="E92" s="91" t="s">
        <v>46</v>
      </c>
      <c r="F92" s="36">
        <f>1850+32+8</f>
        <v>1890</v>
      </c>
      <c r="G92" s="34">
        <f>450+32+8</f>
        <v>490</v>
      </c>
      <c r="H92" s="50">
        <v>190</v>
      </c>
      <c r="I92" s="144">
        <f>F92*G92*H92/1000000000</f>
        <v>0.175959</v>
      </c>
      <c r="J92" s="344">
        <f>I92+I93</f>
        <v>0.23450700000000002</v>
      </c>
      <c r="K92" s="56">
        <f>55+24</f>
        <v>79</v>
      </c>
      <c r="L92" s="299">
        <f>SUM(K92:K93)</f>
        <v>83.89</v>
      </c>
    </row>
    <row r="93" spans="1:12" ht="13.5" thickBot="1">
      <c r="A93" s="348"/>
      <c r="B93" s="348"/>
      <c r="C93" s="155" t="s">
        <v>11</v>
      </c>
      <c r="D93" s="155">
        <v>1</v>
      </c>
      <c r="E93" s="126" t="s">
        <v>13</v>
      </c>
      <c r="F93" s="52">
        <v>820</v>
      </c>
      <c r="G93" s="29">
        <v>420</v>
      </c>
      <c r="H93" s="39">
        <v>170</v>
      </c>
      <c r="I93" s="147">
        <f t="shared" si="4"/>
        <v>0.058548</v>
      </c>
      <c r="J93" s="493"/>
      <c r="K93" s="87">
        <v>4.89</v>
      </c>
      <c r="L93" s="301"/>
    </row>
    <row r="94" spans="1:12" ht="12.75">
      <c r="A94" s="346" t="s">
        <v>53</v>
      </c>
      <c r="B94" s="346">
        <v>3</v>
      </c>
      <c r="C94" s="132" t="s">
        <v>50</v>
      </c>
      <c r="D94" s="132">
        <v>1</v>
      </c>
      <c r="E94" s="91" t="s">
        <v>46</v>
      </c>
      <c r="F94" s="36">
        <f>1850+32+8</f>
        <v>1890</v>
      </c>
      <c r="G94" s="34">
        <f>450+32+8</f>
        <v>490</v>
      </c>
      <c r="H94" s="50">
        <v>190</v>
      </c>
      <c r="I94" s="144">
        <f>F94*G94*H94/1000000000</f>
        <v>0.175959</v>
      </c>
      <c r="J94" s="344">
        <f>I94+I96</f>
        <v>0.190529</v>
      </c>
      <c r="K94" s="56">
        <f>55+24</f>
        <v>79</v>
      </c>
      <c r="L94" s="299">
        <f>SUM(K94:K96)</f>
        <v>97.89</v>
      </c>
    </row>
    <row r="95" spans="1:12" ht="12.75">
      <c r="A95" s="347"/>
      <c r="B95" s="347"/>
      <c r="C95" s="133" t="s">
        <v>11</v>
      </c>
      <c r="D95" s="133">
        <v>1</v>
      </c>
      <c r="E95" s="94" t="s">
        <v>13</v>
      </c>
      <c r="F95" s="111">
        <v>820</v>
      </c>
      <c r="G95" s="31">
        <v>420</v>
      </c>
      <c r="H95" s="113">
        <v>170</v>
      </c>
      <c r="I95" s="145">
        <f t="shared" si="4"/>
        <v>0.058548</v>
      </c>
      <c r="J95" s="480"/>
      <c r="K95" s="71">
        <v>4.89</v>
      </c>
      <c r="L95" s="300"/>
    </row>
    <row r="96" spans="1:12" ht="13.5" thickBot="1">
      <c r="A96" s="349"/>
      <c r="B96" s="349"/>
      <c r="C96" s="173" t="s">
        <v>54</v>
      </c>
      <c r="D96" s="173">
        <v>1</v>
      </c>
      <c r="E96" s="121" t="s">
        <v>46</v>
      </c>
      <c r="F96" s="52">
        <v>940</v>
      </c>
      <c r="G96" s="29">
        <v>310</v>
      </c>
      <c r="H96" s="39">
        <v>50</v>
      </c>
      <c r="I96" s="146">
        <f t="shared" si="4"/>
        <v>0.01457</v>
      </c>
      <c r="J96" s="481"/>
      <c r="K96" s="57">
        <v>14</v>
      </c>
      <c r="L96" s="410"/>
    </row>
    <row r="97" ht="13.5" thickBot="1"/>
    <row r="98" spans="1:12" ht="15" thickBot="1">
      <c r="A98" s="497" t="s">
        <v>101</v>
      </c>
      <c r="B98" s="498"/>
      <c r="C98" s="498"/>
      <c r="D98" s="498"/>
      <c r="E98" s="498"/>
      <c r="F98" s="498"/>
      <c r="G98" s="498"/>
      <c r="H98" s="498"/>
      <c r="I98" s="499"/>
      <c r="J98" s="207"/>
      <c r="K98" s="207"/>
      <c r="L98" s="207"/>
    </row>
  </sheetData>
  <sheetProtection/>
  <mergeCells count="179">
    <mergeCell ref="A98:I98"/>
    <mergeCell ref="M74:M75"/>
    <mergeCell ref="M2:M3"/>
    <mergeCell ref="L6:L8"/>
    <mergeCell ref="L12:L14"/>
    <mergeCell ref="L9:L11"/>
    <mergeCell ref="L19:L21"/>
    <mergeCell ref="J61:J62"/>
    <mergeCell ref="L61:L62"/>
    <mergeCell ref="L41:L42"/>
    <mergeCell ref="J19:J21"/>
    <mergeCell ref="A58:L58"/>
    <mergeCell ref="A59:A60"/>
    <mergeCell ref="L15:L18"/>
    <mergeCell ref="C59:C60"/>
    <mergeCell ref="B9:B11"/>
    <mergeCell ref="A9:A11"/>
    <mergeCell ref="J12:J14"/>
    <mergeCell ref="J41:J42"/>
    <mergeCell ref="A19:A21"/>
    <mergeCell ref="J6:J8"/>
    <mergeCell ref="L59:L60"/>
    <mergeCell ref="A38:L38"/>
    <mergeCell ref="A39:A40"/>
    <mergeCell ref="B39:B40"/>
    <mergeCell ref="F59:H59"/>
    <mergeCell ref="J9:J11"/>
    <mergeCell ref="J59:J60"/>
    <mergeCell ref="J15:J18"/>
    <mergeCell ref="B59:B60"/>
    <mergeCell ref="J43:J45"/>
    <mergeCell ref="L43:L45"/>
    <mergeCell ref="J46:J48"/>
    <mergeCell ref="L46:L48"/>
    <mergeCell ref="D24:D25"/>
    <mergeCell ref="F39:H39"/>
    <mergeCell ref="I39:I40"/>
    <mergeCell ref="J39:J40"/>
    <mergeCell ref="K39:K40"/>
    <mergeCell ref="L39:L40"/>
    <mergeCell ref="B41:B42"/>
    <mergeCell ref="A46:A48"/>
    <mergeCell ref="B46:B48"/>
    <mergeCell ref="B19:B21"/>
    <mergeCell ref="D39:D40"/>
    <mergeCell ref="E39:E40"/>
    <mergeCell ref="C39:C40"/>
    <mergeCell ref="A23:L23"/>
    <mergeCell ref="A24:A25"/>
    <mergeCell ref="B24:B25"/>
    <mergeCell ref="C24:C25"/>
    <mergeCell ref="L4:L5"/>
    <mergeCell ref="K2:K3"/>
    <mergeCell ref="L2:L3"/>
    <mergeCell ref="J2:J3"/>
    <mergeCell ref="J4:J5"/>
    <mergeCell ref="C2:C3"/>
    <mergeCell ref="D2:D3"/>
    <mergeCell ref="E2:E3"/>
    <mergeCell ref="K24:K25"/>
    <mergeCell ref="A1:L1"/>
    <mergeCell ref="F74:H74"/>
    <mergeCell ref="I74:I75"/>
    <mergeCell ref="A61:A62"/>
    <mergeCell ref="B61:B62"/>
    <mergeCell ref="C74:C75"/>
    <mergeCell ref="D74:D75"/>
    <mergeCell ref="E74:E75"/>
    <mergeCell ref="K74:K75"/>
    <mergeCell ref="J74:J75"/>
    <mergeCell ref="A43:A45"/>
    <mergeCell ref="B43:B45"/>
    <mergeCell ref="I2:I3"/>
    <mergeCell ref="F2:H2"/>
    <mergeCell ref="A15:A18"/>
    <mergeCell ref="B15:B18"/>
    <mergeCell ref="A2:A3"/>
    <mergeCell ref="B2:B3"/>
    <mergeCell ref="A41:A42"/>
    <mergeCell ref="A12:A14"/>
    <mergeCell ref="B12:B14"/>
    <mergeCell ref="A4:A5"/>
    <mergeCell ref="B4:B5"/>
    <mergeCell ref="A6:A8"/>
    <mergeCell ref="B6:B8"/>
    <mergeCell ref="A85:L85"/>
    <mergeCell ref="J49:J51"/>
    <mergeCell ref="L49:L51"/>
    <mergeCell ref="L74:L75"/>
    <mergeCell ref="A73:L73"/>
    <mergeCell ref="A86:A87"/>
    <mergeCell ref="B86:B87"/>
    <mergeCell ref="A80:A81"/>
    <mergeCell ref="B80:B81"/>
    <mergeCell ref="A76:A77"/>
    <mergeCell ref="L82:L83"/>
    <mergeCell ref="L78:L79"/>
    <mergeCell ref="J82:J83"/>
    <mergeCell ref="J78:J79"/>
    <mergeCell ref="B76:B77"/>
    <mergeCell ref="A74:A75"/>
    <mergeCell ref="B74:B75"/>
    <mergeCell ref="A49:A51"/>
    <mergeCell ref="B49:B51"/>
    <mergeCell ref="I59:I60"/>
    <mergeCell ref="A82:A83"/>
    <mergeCell ref="B82:B83"/>
    <mergeCell ref="A78:A79"/>
    <mergeCell ref="B78:B79"/>
    <mergeCell ref="E59:E60"/>
    <mergeCell ref="J76:J77"/>
    <mergeCell ref="L76:L77"/>
    <mergeCell ref="J80:J81"/>
    <mergeCell ref="L80:L81"/>
    <mergeCell ref="L52:L55"/>
    <mergeCell ref="F65:H65"/>
    <mergeCell ref="I65:I66"/>
    <mergeCell ref="J65:J66"/>
    <mergeCell ref="K65:K66"/>
    <mergeCell ref="A64:K64"/>
    <mergeCell ref="K59:K60"/>
    <mergeCell ref="A65:A66"/>
    <mergeCell ref="B65:B66"/>
    <mergeCell ref="C65:C66"/>
    <mergeCell ref="K86:K87"/>
    <mergeCell ref="A92:A93"/>
    <mergeCell ref="B92:B93"/>
    <mergeCell ref="J92:J93"/>
    <mergeCell ref="J90:J91"/>
    <mergeCell ref="A88:A89"/>
    <mergeCell ref="A52:A55"/>
    <mergeCell ref="B52:B55"/>
    <mergeCell ref="J52:J55"/>
    <mergeCell ref="D65:D66"/>
    <mergeCell ref="E65:E66"/>
    <mergeCell ref="D59:D60"/>
    <mergeCell ref="L90:L91"/>
    <mergeCell ref="C86:C87"/>
    <mergeCell ref="D86:D87"/>
    <mergeCell ref="A94:A96"/>
    <mergeCell ref="B94:B96"/>
    <mergeCell ref="J94:J96"/>
    <mergeCell ref="L94:L96"/>
    <mergeCell ref="I86:I87"/>
    <mergeCell ref="J86:J87"/>
    <mergeCell ref="L92:L93"/>
    <mergeCell ref="B88:B89"/>
    <mergeCell ref="J88:J89"/>
    <mergeCell ref="L88:L89"/>
    <mergeCell ref="F86:H86"/>
    <mergeCell ref="L86:L87"/>
    <mergeCell ref="E86:E87"/>
    <mergeCell ref="A90:A91"/>
    <mergeCell ref="B90:B91"/>
    <mergeCell ref="E24:E25"/>
    <mergeCell ref="F24:H24"/>
    <mergeCell ref="I24:I25"/>
    <mergeCell ref="J24:J25"/>
    <mergeCell ref="B28:B29"/>
    <mergeCell ref="A32:A33"/>
    <mergeCell ref="B32:B33"/>
    <mergeCell ref="J32:J33"/>
    <mergeCell ref="L24:L25"/>
    <mergeCell ref="A26:A27"/>
    <mergeCell ref="B26:B27"/>
    <mergeCell ref="J26:J27"/>
    <mergeCell ref="L26:L27"/>
    <mergeCell ref="A34:A36"/>
    <mergeCell ref="B34:B36"/>
    <mergeCell ref="J34:J36"/>
    <mergeCell ref="L34:L36"/>
    <mergeCell ref="A28:A29"/>
    <mergeCell ref="L32:L33"/>
    <mergeCell ref="J28:J29"/>
    <mergeCell ref="L28:L29"/>
    <mergeCell ref="A30:A31"/>
    <mergeCell ref="B30:B31"/>
    <mergeCell ref="J30:J31"/>
    <mergeCell ref="L30:L31"/>
  </mergeCells>
  <printOptions/>
  <pageMargins left="0.75" right="0.75" top="1" bottom="1" header="0.5" footer="0.5"/>
  <pageSetup fitToHeight="1" fitToWidth="1" horizontalDpi="600" verticalDpi="600" orientation="portrait" paperSize="9" scale="53" r:id="rId1"/>
  <ignoredErrors>
    <ignoredError sqref="L4 L6 L9 L12 L15 L19 L41 L43 L46 L49 L52 L76 L78 L80 L82 L88 L90 L92 L94 L26 L28 L30 L32 L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3.00390625" style="0" customWidth="1"/>
    <col min="2" max="2" width="13.50390625" style="0" customWidth="1"/>
    <col min="3" max="3" width="22.625" style="0" customWidth="1"/>
    <col min="4" max="4" width="13.875" style="0" customWidth="1"/>
    <col min="5" max="5" width="16.00390625" style="0" customWidth="1"/>
    <col min="7" max="7" width="9.375" style="0" customWidth="1"/>
    <col min="8" max="8" width="10.125" style="0" customWidth="1"/>
    <col min="9" max="10" width="15.625" style="0" customWidth="1"/>
    <col min="11" max="11" width="15.875" style="0" customWidth="1"/>
    <col min="12" max="12" width="17.875" style="0" customWidth="1"/>
    <col min="13" max="13" width="12.50390625" style="14" customWidth="1"/>
  </cols>
  <sheetData>
    <row r="1" ht="13.5" thickBot="1"/>
    <row r="2" spans="1:12" ht="13.5" thickBot="1">
      <c r="A2" s="363" t="s">
        <v>55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3" ht="12.75">
      <c r="A3" s="313" t="s">
        <v>3</v>
      </c>
      <c r="B3" s="330" t="s">
        <v>22</v>
      </c>
      <c r="C3" s="313" t="s">
        <v>10</v>
      </c>
      <c r="D3" s="313" t="s">
        <v>23</v>
      </c>
      <c r="E3" s="313" t="s">
        <v>8</v>
      </c>
      <c r="F3" s="355" t="s">
        <v>4</v>
      </c>
      <c r="G3" s="356"/>
      <c r="H3" s="511"/>
      <c r="I3" s="508" t="s">
        <v>87</v>
      </c>
      <c r="J3" s="508" t="s">
        <v>86</v>
      </c>
      <c r="K3" s="503" t="s">
        <v>7</v>
      </c>
      <c r="L3" s="504"/>
      <c r="M3" s="500"/>
    </row>
    <row r="4" spans="1:13" ht="13.5" thickBot="1">
      <c r="A4" s="329"/>
      <c r="B4" s="331"/>
      <c r="C4" s="329"/>
      <c r="D4" s="329"/>
      <c r="E4" s="329"/>
      <c r="F4" s="67" t="s">
        <v>72</v>
      </c>
      <c r="G4" s="68" t="s">
        <v>70</v>
      </c>
      <c r="H4" s="209" t="s">
        <v>71</v>
      </c>
      <c r="I4" s="509"/>
      <c r="J4" s="509"/>
      <c r="K4" s="211" t="s">
        <v>6</v>
      </c>
      <c r="L4" s="212" t="s">
        <v>88</v>
      </c>
      <c r="M4" s="500"/>
    </row>
    <row r="5" spans="1:12" ht="13.5" thickBot="1">
      <c r="A5" s="177" t="s">
        <v>56</v>
      </c>
      <c r="B5" s="177">
        <v>1</v>
      </c>
      <c r="C5" s="177" t="s">
        <v>58</v>
      </c>
      <c r="D5" s="177">
        <v>1</v>
      </c>
      <c r="E5" s="210" t="s">
        <v>246</v>
      </c>
      <c r="F5" s="214">
        <f aca="true" t="shared" si="0" ref="F5:F10">415+30</f>
        <v>445</v>
      </c>
      <c r="G5" s="47">
        <f>470+30</f>
        <v>500</v>
      </c>
      <c r="H5" s="48">
        <f>510+30</f>
        <v>540</v>
      </c>
      <c r="I5" s="189">
        <f aca="true" t="shared" si="1" ref="I5:I17">F5*G5*H5/1000000000</f>
        <v>0.12015</v>
      </c>
      <c r="J5" s="189">
        <f>I5</f>
        <v>0.12015</v>
      </c>
      <c r="K5" s="62">
        <v>15.99</v>
      </c>
      <c r="L5" s="215" t="s">
        <v>65</v>
      </c>
    </row>
    <row r="6" spans="1:12" ht="13.5" thickBot="1">
      <c r="A6" s="177" t="s">
        <v>154</v>
      </c>
      <c r="B6" s="177">
        <v>1</v>
      </c>
      <c r="C6" s="177" t="s">
        <v>58</v>
      </c>
      <c r="D6" s="176">
        <v>1</v>
      </c>
      <c r="E6" s="213" t="s">
        <v>246</v>
      </c>
      <c r="F6" s="214">
        <f t="shared" si="0"/>
        <v>445</v>
      </c>
      <c r="G6" s="47">
        <f>470+30</f>
        <v>500</v>
      </c>
      <c r="H6" s="48">
        <f>680+30</f>
        <v>710</v>
      </c>
      <c r="I6" s="189">
        <f t="shared" si="1"/>
        <v>0.157975</v>
      </c>
      <c r="J6" s="189">
        <f aca="true" t="shared" si="2" ref="J6:J14">I6</f>
        <v>0.157975</v>
      </c>
      <c r="K6" s="62">
        <v>19.03</v>
      </c>
      <c r="L6" s="215" t="s">
        <v>65</v>
      </c>
    </row>
    <row r="7" spans="1:12" ht="13.5" thickBot="1">
      <c r="A7" s="177" t="s">
        <v>57</v>
      </c>
      <c r="B7" s="177">
        <v>1</v>
      </c>
      <c r="C7" s="177" t="s">
        <v>58</v>
      </c>
      <c r="D7" s="176">
        <v>1</v>
      </c>
      <c r="E7" s="216" t="s">
        <v>246</v>
      </c>
      <c r="F7" s="214">
        <f t="shared" si="0"/>
        <v>445</v>
      </c>
      <c r="G7" s="47">
        <f>470+30</f>
        <v>500</v>
      </c>
      <c r="H7" s="48">
        <f>510+30</f>
        <v>540</v>
      </c>
      <c r="I7" s="189">
        <f t="shared" si="1"/>
        <v>0.12015</v>
      </c>
      <c r="J7" s="189">
        <f t="shared" si="2"/>
        <v>0.12015</v>
      </c>
      <c r="K7" s="62">
        <v>21.72</v>
      </c>
      <c r="L7" s="215" t="s">
        <v>65</v>
      </c>
    </row>
    <row r="8" spans="1:12" ht="13.5" thickBot="1">
      <c r="A8" s="177" t="s">
        <v>155</v>
      </c>
      <c r="B8" s="177">
        <v>1</v>
      </c>
      <c r="C8" s="177" t="s">
        <v>58</v>
      </c>
      <c r="D8" s="177">
        <v>1</v>
      </c>
      <c r="E8" s="216" t="s">
        <v>246</v>
      </c>
      <c r="F8" s="214">
        <f t="shared" si="0"/>
        <v>445</v>
      </c>
      <c r="G8" s="47">
        <f>470+30</f>
        <v>500</v>
      </c>
      <c r="H8" s="48">
        <f>680+30</f>
        <v>710</v>
      </c>
      <c r="I8" s="189">
        <f t="shared" si="1"/>
        <v>0.157975</v>
      </c>
      <c r="J8" s="189">
        <f t="shared" si="2"/>
        <v>0.157975</v>
      </c>
      <c r="K8" s="62">
        <v>27.41</v>
      </c>
      <c r="L8" s="215" t="s">
        <v>65</v>
      </c>
    </row>
    <row r="9" spans="1:12" ht="13.5" thickBot="1">
      <c r="A9" s="177" t="s">
        <v>59</v>
      </c>
      <c r="B9" s="177">
        <v>1</v>
      </c>
      <c r="C9" s="177" t="s">
        <v>58</v>
      </c>
      <c r="D9" s="177">
        <v>1</v>
      </c>
      <c r="E9" s="216" t="s">
        <v>246</v>
      </c>
      <c r="F9" s="186">
        <f t="shared" si="0"/>
        <v>445</v>
      </c>
      <c r="G9" s="44">
        <f>535+30</f>
        <v>565</v>
      </c>
      <c r="H9" s="188">
        <f>510+30</f>
        <v>540</v>
      </c>
      <c r="I9" s="189">
        <f t="shared" si="1"/>
        <v>0.1357695</v>
      </c>
      <c r="J9" s="189">
        <f t="shared" si="2"/>
        <v>0.1357695</v>
      </c>
      <c r="K9" s="62">
        <v>16.06</v>
      </c>
      <c r="L9" s="215" t="s">
        <v>65</v>
      </c>
    </row>
    <row r="10" spans="1:12" ht="13.5" thickBot="1">
      <c r="A10" s="177" t="s">
        <v>60</v>
      </c>
      <c r="B10" s="177">
        <v>1</v>
      </c>
      <c r="C10" s="177" t="s">
        <v>58</v>
      </c>
      <c r="D10" s="177">
        <v>1</v>
      </c>
      <c r="E10" s="217" t="s">
        <v>246</v>
      </c>
      <c r="F10" s="186">
        <f t="shared" si="0"/>
        <v>445</v>
      </c>
      <c r="G10" s="44">
        <f>535+30</f>
        <v>565</v>
      </c>
      <c r="H10" s="188">
        <f>510+30</f>
        <v>540</v>
      </c>
      <c r="I10" s="189">
        <f t="shared" si="1"/>
        <v>0.1357695</v>
      </c>
      <c r="J10" s="189">
        <f t="shared" si="2"/>
        <v>0.1357695</v>
      </c>
      <c r="K10" s="62">
        <v>21.92</v>
      </c>
      <c r="L10" s="215" t="s">
        <v>65</v>
      </c>
    </row>
    <row r="11" spans="1:12" ht="13.5" thickBot="1">
      <c r="A11" s="177" t="s">
        <v>156</v>
      </c>
      <c r="B11" s="177">
        <v>1</v>
      </c>
      <c r="C11" s="177" t="s">
        <v>157</v>
      </c>
      <c r="D11" s="177">
        <v>1</v>
      </c>
      <c r="E11" s="217" t="s">
        <v>246</v>
      </c>
      <c r="F11" s="186">
        <f>430+30</f>
        <v>460</v>
      </c>
      <c r="G11" s="44">
        <f>440+30</f>
        <v>470</v>
      </c>
      <c r="H11" s="188">
        <f>220+30</f>
        <v>250</v>
      </c>
      <c r="I11" s="189">
        <f t="shared" si="1"/>
        <v>0.05405</v>
      </c>
      <c r="J11" s="189">
        <f t="shared" si="2"/>
        <v>0.05405</v>
      </c>
      <c r="K11" s="62">
        <v>8.26</v>
      </c>
      <c r="L11" s="215" t="s">
        <v>65</v>
      </c>
    </row>
    <row r="12" spans="1:12" ht="13.5" thickBot="1">
      <c r="A12" s="177" t="s">
        <v>164</v>
      </c>
      <c r="B12" s="177">
        <v>1</v>
      </c>
      <c r="C12" s="177" t="s">
        <v>58</v>
      </c>
      <c r="D12" s="177">
        <v>1</v>
      </c>
      <c r="E12" s="210" t="s">
        <v>246</v>
      </c>
      <c r="F12" s="186">
        <f>780+30</f>
        <v>810</v>
      </c>
      <c r="G12" s="44">
        <f>535+30</f>
        <v>565</v>
      </c>
      <c r="H12" s="188">
        <f>510+30</f>
        <v>540</v>
      </c>
      <c r="I12" s="189">
        <f t="shared" si="1"/>
        <v>0.247131</v>
      </c>
      <c r="J12" s="189">
        <f t="shared" si="2"/>
        <v>0.247131</v>
      </c>
      <c r="K12" s="62">
        <v>23.35</v>
      </c>
      <c r="L12" s="215" t="s">
        <v>65</v>
      </c>
    </row>
    <row r="13" spans="1:12" ht="13.5" thickBot="1">
      <c r="A13" s="177" t="s">
        <v>61</v>
      </c>
      <c r="B13" s="177">
        <v>1</v>
      </c>
      <c r="C13" s="177" t="s">
        <v>58</v>
      </c>
      <c r="D13" s="176">
        <v>1</v>
      </c>
      <c r="E13" s="218" t="s">
        <v>246</v>
      </c>
      <c r="F13" s="186">
        <f>1085+30</f>
        <v>1115</v>
      </c>
      <c r="G13" s="44">
        <f>535+30</f>
        <v>565</v>
      </c>
      <c r="H13" s="188">
        <f>510+30</f>
        <v>540</v>
      </c>
      <c r="I13" s="189">
        <f t="shared" si="1"/>
        <v>0.3401865</v>
      </c>
      <c r="J13" s="189">
        <f t="shared" si="2"/>
        <v>0.3401865</v>
      </c>
      <c r="K13" s="62">
        <v>29.87</v>
      </c>
      <c r="L13" s="215" t="s">
        <v>65</v>
      </c>
    </row>
    <row r="14" spans="1:12" ht="13.5" thickBot="1">
      <c r="A14" s="177" t="s">
        <v>62</v>
      </c>
      <c r="B14" s="177">
        <v>1</v>
      </c>
      <c r="C14" s="177" t="s">
        <v>58</v>
      </c>
      <c r="D14" s="177">
        <v>1</v>
      </c>
      <c r="E14" s="217" t="s">
        <v>246</v>
      </c>
      <c r="F14" s="186">
        <f>1385+30</f>
        <v>1415</v>
      </c>
      <c r="G14" s="44">
        <f>535+30</f>
        <v>565</v>
      </c>
      <c r="H14" s="188">
        <f>510+30</f>
        <v>540</v>
      </c>
      <c r="I14" s="189">
        <f t="shared" si="1"/>
        <v>0.4317165</v>
      </c>
      <c r="J14" s="189">
        <f t="shared" si="2"/>
        <v>0.4317165</v>
      </c>
      <c r="K14" s="62">
        <v>38.95</v>
      </c>
      <c r="L14" s="215" t="s">
        <v>65</v>
      </c>
    </row>
    <row r="15" spans="1:12" ht="13.5" thickBot="1">
      <c r="A15" s="177" t="s">
        <v>165</v>
      </c>
      <c r="B15" s="177">
        <v>2</v>
      </c>
      <c r="C15" s="177" t="s">
        <v>58</v>
      </c>
      <c r="D15" s="177">
        <v>2</v>
      </c>
      <c r="E15" s="217" t="s">
        <v>246</v>
      </c>
      <c r="F15" s="186">
        <f>850+30</f>
        <v>880</v>
      </c>
      <c r="G15" s="44">
        <f>535+30</f>
        <v>565</v>
      </c>
      <c r="H15" s="188">
        <f>510+30</f>
        <v>540</v>
      </c>
      <c r="I15" s="189">
        <f t="shared" si="1"/>
        <v>0.268488</v>
      </c>
      <c r="J15" s="220">
        <f>I15*2</f>
        <v>0.536976</v>
      </c>
      <c r="K15" s="62">
        <v>49.62</v>
      </c>
      <c r="L15" s="215" t="s">
        <v>65</v>
      </c>
    </row>
    <row r="16" spans="1:12" ht="13.5" thickBot="1">
      <c r="A16" s="177" t="s">
        <v>167</v>
      </c>
      <c r="B16" s="177">
        <v>1</v>
      </c>
      <c r="C16" s="177" t="s">
        <v>58</v>
      </c>
      <c r="D16" s="177">
        <v>1</v>
      </c>
      <c r="E16" s="176" t="s">
        <v>13</v>
      </c>
      <c r="F16" s="186">
        <v>780</v>
      </c>
      <c r="G16" s="44">
        <v>520</v>
      </c>
      <c r="H16" s="188">
        <v>510</v>
      </c>
      <c r="I16" s="189">
        <f t="shared" si="1"/>
        <v>0.206856</v>
      </c>
      <c r="J16" s="189">
        <f>I16</f>
        <v>0.206856</v>
      </c>
      <c r="K16" s="221" t="s">
        <v>65</v>
      </c>
      <c r="L16" s="78">
        <v>27.25</v>
      </c>
    </row>
    <row r="17" spans="1:12" ht="13.5" thickBot="1">
      <c r="A17" s="177" t="s">
        <v>63</v>
      </c>
      <c r="B17" s="177">
        <v>1</v>
      </c>
      <c r="C17" s="177" t="s">
        <v>58</v>
      </c>
      <c r="D17" s="177">
        <v>1</v>
      </c>
      <c r="E17" s="176" t="s">
        <v>13</v>
      </c>
      <c r="F17" s="186">
        <v>1085</v>
      </c>
      <c r="G17" s="44">
        <v>520</v>
      </c>
      <c r="H17" s="188">
        <v>510</v>
      </c>
      <c r="I17" s="189">
        <f t="shared" si="1"/>
        <v>0.287742</v>
      </c>
      <c r="J17" s="189">
        <f>I17</f>
        <v>0.287742</v>
      </c>
      <c r="K17" s="221" t="s">
        <v>65</v>
      </c>
      <c r="L17" s="78">
        <v>33.96</v>
      </c>
    </row>
    <row r="18" spans="1:12" ht="13.5" thickBot="1">
      <c r="A18" s="177" t="s">
        <v>64</v>
      </c>
      <c r="B18" s="177">
        <v>1</v>
      </c>
      <c r="C18" s="177" t="s">
        <v>58</v>
      </c>
      <c r="D18" s="177">
        <v>1</v>
      </c>
      <c r="E18" s="176" t="s">
        <v>13</v>
      </c>
      <c r="F18" s="186">
        <v>1385</v>
      </c>
      <c r="G18" s="44">
        <v>520</v>
      </c>
      <c r="H18" s="188">
        <v>510</v>
      </c>
      <c r="I18" s="189">
        <f>F18*G18*H18/1000000000</f>
        <v>0.367302</v>
      </c>
      <c r="J18" s="189">
        <f>I18</f>
        <v>0.367302</v>
      </c>
      <c r="K18" s="221" t="s">
        <v>65</v>
      </c>
      <c r="L18" s="78">
        <v>40.86</v>
      </c>
    </row>
    <row r="19" spans="1:12" ht="13.5" thickBot="1">
      <c r="A19" s="65" t="s">
        <v>166</v>
      </c>
      <c r="B19" s="65">
        <v>2</v>
      </c>
      <c r="C19" s="178" t="s">
        <v>58</v>
      </c>
      <c r="D19" s="65">
        <v>2</v>
      </c>
      <c r="E19" s="175" t="s">
        <v>13</v>
      </c>
      <c r="F19" s="206">
        <v>850</v>
      </c>
      <c r="G19" s="22">
        <v>520</v>
      </c>
      <c r="H19" s="60">
        <v>510</v>
      </c>
      <c r="I19" s="219">
        <f>F19*G19*H19/1000000000</f>
        <v>0.22542</v>
      </c>
      <c r="J19" s="219">
        <f>I19*2</f>
        <v>0.45084</v>
      </c>
      <c r="K19" s="61" t="s">
        <v>65</v>
      </c>
      <c r="L19" s="222">
        <v>57.32</v>
      </c>
    </row>
    <row r="20" spans="1:12" ht="13.5" thickBot="1">
      <c r="A20" s="13"/>
      <c r="B20" s="13"/>
      <c r="C20" s="7"/>
      <c r="D20" s="13"/>
      <c r="E20" s="7"/>
      <c r="F20" s="24"/>
      <c r="G20" s="24"/>
      <c r="H20" s="24"/>
      <c r="I20" s="25"/>
      <c r="J20" s="25"/>
      <c r="K20" s="13"/>
      <c r="L20" s="24"/>
    </row>
    <row r="21" spans="1:12" ht="13.5" thickBot="1">
      <c r="A21" s="363" t="s">
        <v>191</v>
      </c>
      <c r="B21" s="364"/>
      <c r="C21" s="364"/>
      <c r="D21" s="364"/>
      <c r="E21" s="364"/>
      <c r="F21" s="377"/>
      <c r="G21" s="377"/>
      <c r="H21" s="377"/>
      <c r="I21" s="364"/>
      <c r="J21" s="364"/>
      <c r="K21" s="364"/>
      <c r="L21" s="365"/>
    </row>
    <row r="22" spans="1:13" ht="12.75">
      <c r="A22" s="313" t="s">
        <v>3</v>
      </c>
      <c r="B22" s="330" t="s">
        <v>22</v>
      </c>
      <c r="C22" s="313" t="s">
        <v>10</v>
      </c>
      <c r="D22" s="313" t="s">
        <v>23</v>
      </c>
      <c r="E22" s="311" t="s">
        <v>8</v>
      </c>
      <c r="F22" s="313" t="s">
        <v>4</v>
      </c>
      <c r="G22" s="314"/>
      <c r="H22" s="314"/>
      <c r="I22" s="508" t="s">
        <v>87</v>
      </c>
      <c r="J22" s="508" t="s">
        <v>86</v>
      </c>
      <c r="K22" s="313" t="s">
        <v>7</v>
      </c>
      <c r="L22" s="315"/>
      <c r="M22" s="500"/>
    </row>
    <row r="23" spans="1:13" ht="13.5" thickBot="1">
      <c r="A23" s="329"/>
      <c r="B23" s="331"/>
      <c r="C23" s="329"/>
      <c r="D23" s="329"/>
      <c r="E23" s="383"/>
      <c r="F23" s="137" t="s">
        <v>72</v>
      </c>
      <c r="G23" s="69" t="s">
        <v>70</v>
      </c>
      <c r="H23" s="170" t="s">
        <v>71</v>
      </c>
      <c r="I23" s="509"/>
      <c r="J23" s="509"/>
      <c r="K23" s="329"/>
      <c r="L23" s="336"/>
      <c r="M23" s="500"/>
    </row>
    <row r="24" spans="1:13" ht="27" thickBot="1">
      <c r="A24" s="249" t="s">
        <v>262</v>
      </c>
      <c r="B24" s="177">
        <v>1</v>
      </c>
      <c r="C24" s="177" t="s">
        <v>58</v>
      </c>
      <c r="D24" s="177">
        <v>1</v>
      </c>
      <c r="E24" s="91" t="s">
        <v>46</v>
      </c>
      <c r="F24" s="251">
        <v>530</v>
      </c>
      <c r="G24" s="252">
        <v>450</v>
      </c>
      <c r="H24" s="250">
        <v>550</v>
      </c>
      <c r="I24" s="189">
        <f>F24*G24*H24/1000000000</f>
        <v>0.131175</v>
      </c>
      <c r="J24" s="189">
        <f>I24</f>
        <v>0.131175</v>
      </c>
      <c r="K24" s="332">
        <v>33</v>
      </c>
      <c r="L24" s="334"/>
      <c r="M24" s="198"/>
    </row>
    <row r="25" spans="1:13" ht="27" thickBot="1">
      <c r="A25" s="249" t="s">
        <v>263</v>
      </c>
      <c r="B25" s="177">
        <v>1</v>
      </c>
      <c r="C25" s="177" t="s">
        <v>58</v>
      </c>
      <c r="D25" s="177">
        <v>1</v>
      </c>
      <c r="E25" s="91" t="s">
        <v>46</v>
      </c>
      <c r="F25" s="251">
        <v>530</v>
      </c>
      <c r="G25" s="252">
        <v>450</v>
      </c>
      <c r="H25" s="250">
        <v>550</v>
      </c>
      <c r="I25" s="189">
        <f>F25*G25*H25/1000000000</f>
        <v>0.131175</v>
      </c>
      <c r="J25" s="189">
        <f>I25</f>
        <v>0.131175</v>
      </c>
      <c r="K25" s="332">
        <v>39</v>
      </c>
      <c r="L25" s="334"/>
      <c r="M25" s="198"/>
    </row>
    <row r="26" spans="1:12" ht="13.5" thickBot="1">
      <c r="A26" s="177" t="s">
        <v>192</v>
      </c>
      <c r="B26" s="177">
        <v>1</v>
      </c>
      <c r="C26" s="177" t="s">
        <v>58</v>
      </c>
      <c r="D26" s="177">
        <v>1</v>
      </c>
      <c r="E26" s="91" t="s">
        <v>46</v>
      </c>
      <c r="F26" s="186">
        <v>815</v>
      </c>
      <c r="G26" s="44">
        <v>530</v>
      </c>
      <c r="H26" s="188">
        <v>550</v>
      </c>
      <c r="I26" s="189">
        <f>F26*G26*H26/1000000000</f>
        <v>0.2375725</v>
      </c>
      <c r="J26" s="189">
        <f>I26</f>
        <v>0.2375725</v>
      </c>
      <c r="K26" s="332">
        <v>49</v>
      </c>
      <c r="L26" s="334"/>
    </row>
    <row r="27" spans="1:12" ht="13.5" thickBot="1">
      <c r="A27" s="177" t="s">
        <v>193</v>
      </c>
      <c r="B27" s="177">
        <v>1</v>
      </c>
      <c r="C27" s="177" t="s">
        <v>58</v>
      </c>
      <c r="D27" s="177">
        <v>1</v>
      </c>
      <c r="E27" s="91" t="s">
        <v>46</v>
      </c>
      <c r="F27" s="186">
        <v>1115</v>
      </c>
      <c r="G27" s="44">
        <v>530</v>
      </c>
      <c r="H27" s="188">
        <v>550</v>
      </c>
      <c r="I27" s="189">
        <f>F27*G27*H27/1000000000</f>
        <v>0.3250225</v>
      </c>
      <c r="J27" s="189">
        <f>I27</f>
        <v>0.3250225</v>
      </c>
      <c r="K27" s="332">
        <v>61</v>
      </c>
      <c r="L27" s="334"/>
    </row>
    <row r="28" spans="1:12" ht="13.5" thickBot="1">
      <c r="A28" s="178" t="s">
        <v>194</v>
      </c>
      <c r="B28" s="178">
        <v>1</v>
      </c>
      <c r="C28" s="178" t="s">
        <v>58</v>
      </c>
      <c r="D28" s="178">
        <v>1</v>
      </c>
      <c r="E28" s="91" t="s">
        <v>46</v>
      </c>
      <c r="F28" s="226">
        <v>1415</v>
      </c>
      <c r="G28" s="47">
        <v>530</v>
      </c>
      <c r="H28" s="48">
        <v>550</v>
      </c>
      <c r="I28" s="190">
        <f>F28*G28*H28/1000000000</f>
        <v>0.4124725</v>
      </c>
      <c r="J28" s="190">
        <f>I28</f>
        <v>0.4124725</v>
      </c>
      <c r="K28" s="366">
        <v>78</v>
      </c>
      <c r="L28" s="368"/>
    </row>
    <row r="29" spans="1:12" ht="12.75">
      <c r="A29" s="225"/>
      <c r="B29" s="13"/>
      <c r="C29" s="7"/>
      <c r="D29" s="13"/>
      <c r="E29" s="7"/>
      <c r="F29" s="224"/>
      <c r="G29" s="224"/>
      <c r="H29" s="224"/>
      <c r="I29" s="25"/>
      <c r="J29" s="25"/>
      <c r="K29" s="13"/>
      <c r="L29" s="24"/>
    </row>
    <row r="30" spans="1:12" ht="13.5" thickBot="1">
      <c r="A30" s="22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3.5" thickBot="1">
      <c r="A31" s="363" t="s">
        <v>158</v>
      </c>
      <c r="B31" s="364"/>
      <c r="C31" s="364"/>
      <c r="D31" s="364"/>
      <c r="E31" s="364"/>
      <c r="F31" s="377"/>
      <c r="G31" s="377"/>
      <c r="H31" s="377"/>
      <c r="I31" s="364"/>
      <c r="J31" s="364"/>
      <c r="K31" s="377"/>
      <c r="L31" s="378"/>
    </row>
    <row r="32" spans="1:12" ht="12.75">
      <c r="A32" s="313" t="s">
        <v>3</v>
      </c>
      <c r="B32" s="330" t="s">
        <v>22</v>
      </c>
      <c r="C32" s="313" t="s">
        <v>10</v>
      </c>
      <c r="D32" s="313" t="s">
        <v>23</v>
      </c>
      <c r="E32" s="311" t="s">
        <v>8</v>
      </c>
      <c r="F32" s="313" t="s">
        <v>4</v>
      </c>
      <c r="G32" s="314"/>
      <c r="H32" s="314"/>
      <c r="I32" s="508" t="s">
        <v>87</v>
      </c>
      <c r="J32" s="505" t="s">
        <v>86</v>
      </c>
      <c r="K32" s="503" t="s">
        <v>7</v>
      </c>
      <c r="L32" s="504"/>
    </row>
    <row r="33" spans="1:12" ht="13.5" thickBot="1">
      <c r="A33" s="329"/>
      <c r="B33" s="331"/>
      <c r="C33" s="329"/>
      <c r="D33" s="329"/>
      <c r="E33" s="383"/>
      <c r="F33" s="128" t="s">
        <v>72</v>
      </c>
      <c r="G33" s="70" t="s">
        <v>70</v>
      </c>
      <c r="H33" s="130" t="s">
        <v>71</v>
      </c>
      <c r="I33" s="510"/>
      <c r="J33" s="506"/>
      <c r="K33" s="225" t="s">
        <v>6</v>
      </c>
      <c r="L33" s="230" t="s">
        <v>88</v>
      </c>
    </row>
    <row r="34" spans="1:12" ht="12.75">
      <c r="A34" s="346" t="s">
        <v>159</v>
      </c>
      <c r="B34" s="346">
        <v>2</v>
      </c>
      <c r="C34" s="132" t="s">
        <v>58</v>
      </c>
      <c r="D34" s="132">
        <v>1</v>
      </c>
      <c r="E34" s="208" t="s">
        <v>246</v>
      </c>
      <c r="F34" s="226">
        <f>415+30</f>
        <v>445</v>
      </c>
      <c r="G34" s="47">
        <f>470+30</f>
        <v>500</v>
      </c>
      <c r="H34" s="229">
        <f>510+30</f>
        <v>540</v>
      </c>
      <c r="I34" s="43">
        <f aca="true" t="shared" si="3" ref="I34:I40">F34*G34*H34/1000000000</f>
        <v>0.12015</v>
      </c>
      <c r="J34" s="507">
        <f>I34+I35</f>
        <v>0.150138</v>
      </c>
      <c r="K34" s="56" t="s">
        <v>195</v>
      </c>
      <c r="L34" s="91" t="s">
        <v>65</v>
      </c>
    </row>
    <row r="35" spans="1:12" ht="13.5" thickBot="1">
      <c r="A35" s="348"/>
      <c r="B35" s="348"/>
      <c r="C35" s="155" t="s">
        <v>11</v>
      </c>
      <c r="D35" s="155">
        <v>1</v>
      </c>
      <c r="E35" s="126" t="s">
        <v>13</v>
      </c>
      <c r="F35" s="171">
        <v>420</v>
      </c>
      <c r="G35" s="29">
        <v>420</v>
      </c>
      <c r="H35" s="100">
        <v>170</v>
      </c>
      <c r="I35" s="49">
        <f t="shared" si="3"/>
        <v>0.029988</v>
      </c>
      <c r="J35" s="502"/>
      <c r="K35" s="87">
        <v>3.8</v>
      </c>
      <c r="L35" s="126"/>
    </row>
    <row r="36" spans="1:12" ht="12.75">
      <c r="A36" s="346" t="s">
        <v>160</v>
      </c>
      <c r="B36" s="346">
        <v>2</v>
      </c>
      <c r="C36" s="132" t="s">
        <v>58</v>
      </c>
      <c r="D36" s="132">
        <v>1</v>
      </c>
      <c r="E36" s="208" t="s">
        <v>246</v>
      </c>
      <c r="F36" s="214">
        <f>415+30</f>
        <v>445</v>
      </c>
      <c r="G36" s="47">
        <f>470+30</f>
        <v>500</v>
      </c>
      <c r="H36" s="48">
        <f>680+30</f>
        <v>710</v>
      </c>
      <c r="I36" s="41">
        <f t="shared" si="3"/>
        <v>0.157975</v>
      </c>
      <c r="J36" s="501">
        <f>I36+I37</f>
        <v>0.187963</v>
      </c>
      <c r="K36" s="80">
        <v>27.13</v>
      </c>
      <c r="L36" s="152" t="s">
        <v>65</v>
      </c>
    </row>
    <row r="37" spans="1:12" ht="13.5" thickBot="1">
      <c r="A37" s="348"/>
      <c r="B37" s="348"/>
      <c r="C37" s="155" t="s">
        <v>11</v>
      </c>
      <c r="D37" s="155">
        <v>1</v>
      </c>
      <c r="E37" s="126" t="s">
        <v>13</v>
      </c>
      <c r="F37" s="171">
        <v>420</v>
      </c>
      <c r="G37" s="29">
        <v>420</v>
      </c>
      <c r="H37" s="39">
        <v>170</v>
      </c>
      <c r="I37" s="49">
        <f>F37*G37*H37/1000000000</f>
        <v>0.029988</v>
      </c>
      <c r="J37" s="502"/>
      <c r="K37" s="84">
        <v>3.8</v>
      </c>
      <c r="L37" s="156"/>
    </row>
    <row r="38" spans="1:12" ht="12.75">
      <c r="A38" s="346" t="s">
        <v>161</v>
      </c>
      <c r="B38" s="346">
        <v>2</v>
      </c>
      <c r="C38" s="132" t="s">
        <v>58</v>
      </c>
      <c r="D38" s="132">
        <v>1</v>
      </c>
      <c r="E38" s="208" t="s">
        <v>246</v>
      </c>
      <c r="F38" s="226">
        <f>415+30</f>
        <v>445</v>
      </c>
      <c r="G38" s="47">
        <f>470+30</f>
        <v>500</v>
      </c>
      <c r="H38" s="229">
        <f>510+30</f>
        <v>540</v>
      </c>
      <c r="I38" s="41">
        <f t="shared" si="3"/>
        <v>0.12015</v>
      </c>
      <c r="J38" s="501">
        <f>I38+I39</f>
        <v>0.150138</v>
      </c>
      <c r="K38" s="80">
        <v>15.8</v>
      </c>
      <c r="L38" s="152" t="s">
        <v>65</v>
      </c>
    </row>
    <row r="39" spans="1:12" ht="13.5" thickBot="1">
      <c r="A39" s="348"/>
      <c r="B39" s="348"/>
      <c r="C39" s="155" t="s">
        <v>11</v>
      </c>
      <c r="D39" s="155">
        <v>1</v>
      </c>
      <c r="E39" s="126" t="s">
        <v>13</v>
      </c>
      <c r="F39" s="171">
        <v>420</v>
      </c>
      <c r="G39" s="29">
        <v>420</v>
      </c>
      <c r="H39" s="39">
        <v>170</v>
      </c>
      <c r="I39" s="49">
        <f>F39*G39*H39/1000000000</f>
        <v>0.029988</v>
      </c>
      <c r="J39" s="502"/>
      <c r="K39" s="84">
        <v>3.8</v>
      </c>
      <c r="L39" s="156"/>
    </row>
    <row r="40" spans="1:12" ht="12.75">
      <c r="A40" s="346" t="s">
        <v>162</v>
      </c>
      <c r="B40" s="346">
        <v>2</v>
      </c>
      <c r="C40" s="132" t="s">
        <v>58</v>
      </c>
      <c r="D40" s="132">
        <v>1</v>
      </c>
      <c r="E40" s="208" t="s">
        <v>246</v>
      </c>
      <c r="F40" s="214">
        <f>415+30</f>
        <v>445</v>
      </c>
      <c r="G40" s="47">
        <f>470+30</f>
        <v>500</v>
      </c>
      <c r="H40" s="48">
        <f>680+30</f>
        <v>710</v>
      </c>
      <c r="I40" s="41">
        <f t="shared" si="3"/>
        <v>0.157975</v>
      </c>
      <c r="J40" s="501">
        <f>I40+I41</f>
        <v>0.187963</v>
      </c>
      <c r="K40" s="80">
        <v>18.84</v>
      </c>
      <c r="L40" s="152" t="s">
        <v>65</v>
      </c>
    </row>
    <row r="41" spans="1:12" ht="13.5" thickBot="1">
      <c r="A41" s="349"/>
      <c r="B41" s="349"/>
      <c r="C41" s="173" t="s">
        <v>11</v>
      </c>
      <c r="D41" s="173">
        <v>1</v>
      </c>
      <c r="E41" s="121" t="s">
        <v>13</v>
      </c>
      <c r="F41" s="171">
        <v>420</v>
      </c>
      <c r="G41" s="29">
        <v>420</v>
      </c>
      <c r="H41" s="39">
        <v>170</v>
      </c>
      <c r="I41" s="49">
        <f>F41*G41*H41/1000000000</f>
        <v>0.029988</v>
      </c>
      <c r="J41" s="502"/>
      <c r="K41" s="81">
        <v>3.8</v>
      </c>
      <c r="L41" s="174"/>
    </row>
    <row r="43" spans="1:2" ht="12.75">
      <c r="A43" s="4"/>
      <c r="B43" s="5"/>
    </row>
  </sheetData>
  <sheetProtection/>
  <mergeCells count="49">
    <mergeCell ref="A22:A23"/>
    <mergeCell ref="B22:B23"/>
    <mergeCell ref="A2:L2"/>
    <mergeCell ref="A3:A4"/>
    <mergeCell ref="B3:B4"/>
    <mergeCell ref="C3:C4"/>
    <mergeCell ref="D3:D4"/>
    <mergeCell ref="E3:E4"/>
    <mergeCell ref="F22:H22"/>
    <mergeCell ref="I22:I23"/>
    <mergeCell ref="J22:J23"/>
    <mergeCell ref="M3:M4"/>
    <mergeCell ref="F32:H32"/>
    <mergeCell ref="I32:I33"/>
    <mergeCell ref="J3:J4"/>
    <mergeCell ref="F3:H3"/>
    <mergeCell ref="I3:I4"/>
    <mergeCell ref="K3:L3"/>
    <mergeCell ref="A21:L21"/>
    <mergeCell ref="A38:A39"/>
    <mergeCell ref="B38:B39"/>
    <mergeCell ref="K32:L32"/>
    <mergeCell ref="B32:B33"/>
    <mergeCell ref="C32:C33"/>
    <mergeCell ref="D32:D33"/>
    <mergeCell ref="E32:E33"/>
    <mergeCell ref="J32:J33"/>
    <mergeCell ref="J34:J35"/>
    <mergeCell ref="J36:J37"/>
    <mergeCell ref="J38:J39"/>
    <mergeCell ref="J40:J41"/>
    <mergeCell ref="M22:M23"/>
    <mergeCell ref="A40:A41"/>
    <mergeCell ref="B40:B41"/>
    <mergeCell ref="A34:A35"/>
    <mergeCell ref="B34:B35"/>
    <mergeCell ref="A36:A37"/>
    <mergeCell ref="K26:L26"/>
    <mergeCell ref="K27:L27"/>
    <mergeCell ref="B36:B37"/>
    <mergeCell ref="K28:L28"/>
    <mergeCell ref="K22:L23"/>
    <mergeCell ref="K24:L24"/>
    <mergeCell ref="K25:L25"/>
    <mergeCell ref="A31:L31"/>
    <mergeCell ref="A32:A33"/>
    <mergeCell ref="C22:C23"/>
    <mergeCell ref="D22:D23"/>
    <mergeCell ref="E22:E23"/>
  </mergeCells>
  <printOptions/>
  <pageMargins left="0.75" right="0.75" top="1" bottom="1" header="0.5" footer="0.5"/>
  <pageSetup fitToHeight="1" fitToWidth="1" horizontalDpi="600" verticalDpi="600" orientation="landscape" paperSize="9" scale="72" r:id="rId1"/>
  <ignoredErrors>
    <ignoredError sqref="J15 H6:H8 G11:H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17.625" style="0" customWidth="1"/>
    <col min="2" max="2" width="25.875" style="0" customWidth="1"/>
    <col min="3" max="3" width="5.125" style="0" customWidth="1"/>
    <col min="4" max="4" width="16.50390625" style="0" customWidth="1"/>
    <col min="6" max="6" width="18.875" style="0" customWidth="1"/>
    <col min="8" max="8" width="11.50390625" style="0" customWidth="1"/>
  </cols>
  <sheetData>
    <row r="1" spans="1:10" ht="13.5" thickBot="1">
      <c r="A1" s="523" t="s">
        <v>242</v>
      </c>
      <c r="B1" s="524"/>
      <c r="C1" s="524"/>
      <c r="D1" s="524"/>
      <c r="E1" s="524"/>
      <c r="F1" s="524"/>
      <c r="G1" s="524"/>
      <c r="H1" s="525"/>
      <c r="I1" s="525"/>
      <c r="J1" s="526"/>
    </row>
    <row r="2" spans="1:10" ht="12.75" customHeight="1">
      <c r="A2" s="527" t="s">
        <v>104</v>
      </c>
      <c r="B2" s="529" t="s">
        <v>105</v>
      </c>
      <c r="C2" s="531" t="s">
        <v>106</v>
      </c>
      <c r="D2" s="531" t="s">
        <v>8</v>
      </c>
      <c r="E2" s="531" t="s">
        <v>107</v>
      </c>
      <c r="F2" s="531" t="s">
        <v>111</v>
      </c>
      <c r="G2" s="553"/>
      <c r="H2" s="553"/>
      <c r="I2" s="529" t="s">
        <v>109</v>
      </c>
      <c r="J2" s="533" t="s">
        <v>110</v>
      </c>
    </row>
    <row r="3" spans="1:10" ht="13.5" thickBot="1">
      <c r="A3" s="528"/>
      <c r="B3" s="530"/>
      <c r="C3" s="532"/>
      <c r="D3" s="532"/>
      <c r="E3" s="532"/>
      <c r="F3" s="554"/>
      <c r="G3" s="555"/>
      <c r="H3" s="555"/>
      <c r="I3" s="530"/>
      <c r="J3" s="534"/>
    </row>
    <row r="4" spans="1:10" ht="12.75">
      <c r="A4" s="516" t="s">
        <v>214</v>
      </c>
      <c r="B4" s="518" t="s">
        <v>215</v>
      </c>
      <c r="C4" s="520" t="s">
        <v>102</v>
      </c>
      <c r="D4" s="520" t="s">
        <v>227</v>
      </c>
      <c r="E4" s="522">
        <v>2</v>
      </c>
      <c r="F4" s="520" t="s">
        <v>229</v>
      </c>
      <c r="G4" s="538" t="s">
        <v>228</v>
      </c>
      <c r="H4" s="539"/>
      <c r="I4" s="535">
        <f>I28*4+I29*4</f>
        <v>19.68</v>
      </c>
      <c r="J4" s="514">
        <f>(2.03*0.05*0.05)+(1.03*0.33*0.16)</f>
        <v>0.05945900000000001</v>
      </c>
    </row>
    <row r="5" spans="1:10" ht="20.25" customHeight="1" thickBot="1">
      <c r="A5" s="517"/>
      <c r="B5" s="519"/>
      <c r="C5" s="521"/>
      <c r="D5" s="521"/>
      <c r="E5" s="513"/>
      <c r="F5" s="521"/>
      <c r="G5" s="540"/>
      <c r="H5" s="541"/>
      <c r="I5" s="521"/>
      <c r="J5" s="515"/>
    </row>
    <row r="6" spans="1:10" ht="12.75">
      <c r="A6" s="516" t="s">
        <v>216</v>
      </c>
      <c r="B6" s="518" t="s">
        <v>219</v>
      </c>
      <c r="C6" s="520" t="s">
        <v>102</v>
      </c>
      <c r="D6" s="520" t="s">
        <v>227</v>
      </c>
      <c r="E6" s="522">
        <v>2</v>
      </c>
      <c r="F6" s="520" t="s">
        <v>230</v>
      </c>
      <c r="G6" s="538" t="s">
        <v>228</v>
      </c>
      <c r="H6" s="539"/>
      <c r="I6" s="512">
        <f>I28*4+I30*4</f>
        <v>22.68</v>
      </c>
      <c r="J6" s="514">
        <f>(2.03*0.05*0.05)+(1.03*0.43*0.16)</f>
        <v>0.075939</v>
      </c>
    </row>
    <row r="7" spans="1:10" ht="18.75" customHeight="1" thickBot="1">
      <c r="A7" s="517"/>
      <c r="B7" s="519"/>
      <c r="C7" s="521"/>
      <c r="D7" s="521"/>
      <c r="E7" s="513"/>
      <c r="F7" s="521"/>
      <c r="G7" s="540"/>
      <c r="H7" s="541"/>
      <c r="I7" s="513"/>
      <c r="J7" s="515"/>
    </row>
    <row r="8" spans="1:10" ht="12.75">
      <c r="A8" s="516" t="s">
        <v>217</v>
      </c>
      <c r="B8" s="518" t="s">
        <v>220</v>
      </c>
      <c r="C8" s="520" t="s">
        <v>102</v>
      </c>
      <c r="D8" s="520" t="s">
        <v>227</v>
      </c>
      <c r="E8" s="522">
        <v>2</v>
      </c>
      <c r="F8" s="520" t="s">
        <v>231</v>
      </c>
      <c r="G8" s="538" t="s">
        <v>228</v>
      </c>
      <c r="H8" s="539"/>
      <c r="I8" s="512">
        <f>I28*4+I31*4</f>
        <v>25.6</v>
      </c>
      <c r="J8" s="514">
        <f>(2.03*0.05*0.05)+(1.03*0.53*0.16)</f>
        <v>0.092419</v>
      </c>
    </row>
    <row r="9" spans="1:10" ht="19.5" customHeight="1" thickBot="1">
      <c r="A9" s="517"/>
      <c r="B9" s="519"/>
      <c r="C9" s="521"/>
      <c r="D9" s="521"/>
      <c r="E9" s="513"/>
      <c r="F9" s="521"/>
      <c r="G9" s="540"/>
      <c r="H9" s="541"/>
      <c r="I9" s="513"/>
      <c r="J9" s="515"/>
    </row>
    <row r="10" spans="1:10" ht="12.75">
      <c r="A10" s="542" t="s">
        <v>218</v>
      </c>
      <c r="B10" s="551" t="s">
        <v>221</v>
      </c>
      <c r="C10" s="536" t="s">
        <v>102</v>
      </c>
      <c r="D10" s="536" t="s">
        <v>227</v>
      </c>
      <c r="E10" s="544">
        <v>2</v>
      </c>
      <c r="F10" s="536" t="s">
        <v>232</v>
      </c>
      <c r="G10" s="536" t="s">
        <v>228</v>
      </c>
      <c r="H10" s="536"/>
      <c r="I10" s="550">
        <f>I28*4+I32*4</f>
        <v>28.08</v>
      </c>
      <c r="J10" s="514">
        <f>(2.03*0.05*0.05)+(1.03*0.63*0.16)</f>
        <v>0.10889900000000001</v>
      </c>
    </row>
    <row r="11" spans="1:10" ht="16.5" customHeight="1" thickBot="1">
      <c r="A11" s="543"/>
      <c r="B11" s="552"/>
      <c r="C11" s="537"/>
      <c r="D11" s="537"/>
      <c r="E11" s="545"/>
      <c r="F11" s="537"/>
      <c r="G11" s="537"/>
      <c r="H11" s="537"/>
      <c r="I11" s="545"/>
      <c r="J11" s="515"/>
    </row>
    <row r="12" spans="1:10" ht="16.5" customHeight="1" thickBot="1">
      <c r="A12" s="89"/>
      <c r="B12" s="89"/>
      <c r="C12" s="90"/>
      <c r="D12" s="90"/>
      <c r="E12" s="7"/>
      <c r="F12" s="90"/>
      <c r="G12" s="90"/>
      <c r="H12" s="90"/>
      <c r="I12" s="7"/>
      <c r="J12" s="90"/>
    </row>
    <row r="13" spans="1:10" ht="16.5" customHeight="1" thickBot="1">
      <c r="A13" s="523" t="s">
        <v>237</v>
      </c>
      <c r="B13" s="524"/>
      <c r="C13" s="524"/>
      <c r="D13" s="524"/>
      <c r="E13" s="524"/>
      <c r="F13" s="524"/>
      <c r="G13" s="524"/>
      <c r="H13" s="525"/>
      <c r="I13" s="525"/>
      <c r="J13" s="526"/>
    </row>
    <row r="14" spans="1:10" ht="16.5" customHeight="1">
      <c r="A14" s="516" t="s">
        <v>233</v>
      </c>
      <c r="B14" s="518" t="s">
        <v>238</v>
      </c>
      <c r="C14" s="520" t="s">
        <v>102</v>
      </c>
      <c r="D14" s="520" t="s">
        <v>227</v>
      </c>
      <c r="E14" s="522">
        <v>2</v>
      </c>
      <c r="F14" s="520" t="s">
        <v>229</v>
      </c>
      <c r="G14" s="538" t="s">
        <v>228</v>
      </c>
      <c r="H14" s="539"/>
      <c r="I14" s="535">
        <f>I28*4+I29*4+4*I37+8*I33</f>
        <v>21.76</v>
      </c>
      <c r="J14" s="514">
        <f>(2.03*0.05*0.05)+(1.03*0.33*0.16)</f>
        <v>0.05945900000000001</v>
      </c>
    </row>
    <row r="15" spans="1:10" ht="30.75" customHeight="1" thickBot="1">
      <c r="A15" s="517"/>
      <c r="B15" s="519"/>
      <c r="C15" s="521"/>
      <c r="D15" s="521"/>
      <c r="E15" s="513"/>
      <c r="F15" s="521"/>
      <c r="G15" s="540"/>
      <c r="H15" s="541"/>
      <c r="I15" s="521"/>
      <c r="J15" s="515"/>
    </row>
    <row r="16" spans="1:10" ht="16.5" customHeight="1">
      <c r="A16" s="516" t="s">
        <v>234</v>
      </c>
      <c r="B16" s="518" t="s">
        <v>239</v>
      </c>
      <c r="C16" s="520" t="s">
        <v>102</v>
      </c>
      <c r="D16" s="520" t="s">
        <v>227</v>
      </c>
      <c r="E16" s="522">
        <v>2</v>
      </c>
      <c r="F16" s="520" t="s">
        <v>230</v>
      </c>
      <c r="G16" s="538" t="s">
        <v>228</v>
      </c>
      <c r="H16" s="539"/>
      <c r="I16" s="512">
        <f>I28*4+I30*4+4*I37+8*I34</f>
        <v>25.080000000000002</v>
      </c>
      <c r="J16" s="514">
        <f>(2.03*0.05*0.05)+(1.03*0.43*0.16)</f>
        <v>0.075939</v>
      </c>
    </row>
    <row r="17" spans="1:10" ht="38.25" customHeight="1" thickBot="1">
      <c r="A17" s="517"/>
      <c r="B17" s="519"/>
      <c r="C17" s="521"/>
      <c r="D17" s="521"/>
      <c r="E17" s="513"/>
      <c r="F17" s="521"/>
      <c r="G17" s="540"/>
      <c r="H17" s="541"/>
      <c r="I17" s="513"/>
      <c r="J17" s="515"/>
    </row>
    <row r="18" spans="1:10" ht="16.5" customHeight="1">
      <c r="A18" s="516" t="s">
        <v>235</v>
      </c>
      <c r="B18" s="518" t="s">
        <v>240</v>
      </c>
      <c r="C18" s="520" t="s">
        <v>102</v>
      </c>
      <c r="D18" s="520" t="s">
        <v>227</v>
      </c>
      <c r="E18" s="522">
        <v>2</v>
      </c>
      <c r="F18" s="520" t="s">
        <v>231</v>
      </c>
      <c r="G18" s="538" t="s">
        <v>228</v>
      </c>
      <c r="H18" s="539"/>
      <c r="I18" s="512">
        <f>I28*4+I31*4+4*I37+8*I35</f>
        <v>28.160000000000004</v>
      </c>
      <c r="J18" s="514">
        <f>(2.03*0.05*0.05)+(1.03*0.53*0.16)</f>
        <v>0.092419</v>
      </c>
    </row>
    <row r="19" spans="1:10" ht="31.5" customHeight="1" thickBot="1">
      <c r="A19" s="517"/>
      <c r="B19" s="519"/>
      <c r="C19" s="521"/>
      <c r="D19" s="521"/>
      <c r="E19" s="513"/>
      <c r="F19" s="521"/>
      <c r="G19" s="540"/>
      <c r="H19" s="541"/>
      <c r="I19" s="513"/>
      <c r="J19" s="515"/>
    </row>
    <row r="20" spans="1:10" ht="16.5" customHeight="1">
      <c r="A20" s="542" t="s">
        <v>236</v>
      </c>
      <c r="B20" s="518" t="s">
        <v>241</v>
      </c>
      <c r="C20" s="536" t="s">
        <v>102</v>
      </c>
      <c r="D20" s="536" t="s">
        <v>227</v>
      </c>
      <c r="E20" s="544">
        <v>2</v>
      </c>
      <c r="F20" s="536" t="s">
        <v>232</v>
      </c>
      <c r="G20" s="536" t="s">
        <v>228</v>
      </c>
      <c r="H20" s="536"/>
      <c r="I20" s="550">
        <f>$I$28*4+$I$32*4+4*$I$37+8*$I$36</f>
        <v>30.8</v>
      </c>
      <c r="J20" s="514">
        <f>(2.03*0.05*0.05)+(1.03*0.63*0.16)</f>
        <v>0.10889900000000001</v>
      </c>
    </row>
    <row r="21" spans="1:10" ht="38.25" customHeight="1" thickBot="1">
      <c r="A21" s="543"/>
      <c r="B21" s="519"/>
      <c r="C21" s="537"/>
      <c r="D21" s="537"/>
      <c r="E21" s="545"/>
      <c r="F21" s="537"/>
      <c r="G21" s="537"/>
      <c r="H21" s="537"/>
      <c r="I21" s="545"/>
      <c r="J21" s="515"/>
    </row>
    <row r="22" spans="1:10" ht="16.5" customHeight="1" thickBot="1">
      <c r="A22" s="89"/>
      <c r="B22" s="89"/>
      <c r="C22" s="90"/>
      <c r="D22" s="90"/>
      <c r="E22" s="7"/>
      <c r="F22" s="90"/>
      <c r="G22" s="90"/>
      <c r="H22" s="90"/>
      <c r="I22" s="7"/>
      <c r="J22" s="7"/>
    </row>
    <row r="23" spans="1:11" ht="15.75" thickBot="1">
      <c r="A23" s="54" t="s">
        <v>226</v>
      </c>
      <c r="B23" s="55"/>
      <c r="C23" s="55"/>
      <c r="D23" s="55"/>
      <c r="E23" s="55"/>
      <c r="F23" s="55"/>
      <c r="G23" s="55"/>
      <c r="H23" s="55"/>
      <c r="I23" s="55"/>
      <c r="J23" s="6"/>
      <c r="K23" s="2"/>
    </row>
    <row r="24" spans="1:10" ht="16.5" customHeight="1" thickBot="1">
      <c r="A24" s="89"/>
      <c r="B24" s="89"/>
      <c r="C24" s="90"/>
      <c r="D24" s="90"/>
      <c r="E24" s="7"/>
      <c r="F24" s="90"/>
      <c r="G24" s="90"/>
      <c r="H24" s="90"/>
      <c r="I24" s="7"/>
      <c r="J24" s="7"/>
    </row>
    <row r="25" spans="1:10" ht="16.5" customHeight="1" thickBot="1">
      <c r="A25" s="523" t="s">
        <v>243</v>
      </c>
      <c r="B25" s="524"/>
      <c r="C25" s="524"/>
      <c r="D25" s="524"/>
      <c r="E25" s="524"/>
      <c r="F25" s="524"/>
      <c r="G25" s="524"/>
      <c r="H25" s="525"/>
      <c r="I25" s="525"/>
      <c r="J25" s="526"/>
    </row>
    <row r="26" spans="1:10" ht="16.5" customHeight="1">
      <c r="A26" s="560" t="s">
        <v>104</v>
      </c>
      <c r="B26" s="529" t="s">
        <v>105</v>
      </c>
      <c r="C26" s="529" t="s">
        <v>106</v>
      </c>
      <c r="D26" s="529" t="s">
        <v>8</v>
      </c>
      <c r="E26" s="529" t="s">
        <v>107</v>
      </c>
      <c r="F26" s="529" t="s">
        <v>108</v>
      </c>
      <c r="G26" s="556" t="s">
        <v>111</v>
      </c>
      <c r="H26" s="557"/>
      <c r="I26" s="529" t="s">
        <v>109</v>
      </c>
      <c r="J26" s="533" t="s">
        <v>110</v>
      </c>
    </row>
    <row r="27" spans="1:10" ht="16.5" customHeight="1" thickBot="1">
      <c r="A27" s="561"/>
      <c r="B27" s="530"/>
      <c r="C27" s="530"/>
      <c r="D27" s="530"/>
      <c r="E27" s="530"/>
      <c r="F27" s="530"/>
      <c r="G27" s="558"/>
      <c r="H27" s="559"/>
      <c r="I27" s="530"/>
      <c r="J27" s="534"/>
    </row>
    <row r="28" spans="1:10" ht="16.5" customHeight="1" thickBot="1">
      <c r="A28" s="255" t="s">
        <v>196</v>
      </c>
      <c r="B28" s="256" t="s">
        <v>112</v>
      </c>
      <c r="C28" s="257" t="s">
        <v>102</v>
      </c>
      <c r="D28" s="258" t="s">
        <v>113</v>
      </c>
      <c r="E28" s="258">
        <v>1</v>
      </c>
      <c r="F28" s="258" t="s">
        <v>210</v>
      </c>
      <c r="G28" s="548" t="s">
        <v>210</v>
      </c>
      <c r="H28" s="549"/>
      <c r="I28" s="259">
        <v>2.32</v>
      </c>
      <c r="J28" s="260">
        <f>2*0.035*0.035</f>
        <v>0.0024500000000000004</v>
      </c>
    </row>
    <row r="29" spans="1:10" ht="16.5" customHeight="1" thickBot="1">
      <c r="A29" s="261" t="s">
        <v>115</v>
      </c>
      <c r="B29" s="262" t="s">
        <v>114</v>
      </c>
      <c r="C29" s="257" t="s">
        <v>102</v>
      </c>
      <c r="D29" s="258" t="s">
        <v>103</v>
      </c>
      <c r="E29" s="258">
        <v>1</v>
      </c>
      <c r="F29" s="258" t="s">
        <v>116</v>
      </c>
      <c r="G29" s="546" t="s">
        <v>116</v>
      </c>
      <c r="H29" s="547"/>
      <c r="I29" s="259">
        <v>2.6</v>
      </c>
      <c r="J29" s="263">
        <f>0.03*1*0.3</f>
        <v>0.009</v>
      </c>
    </row>
    <row r="30" spans="1:10" ht="16.5" customHeight="1" thickBot="1">
      <c r="A30" s="261" t="s">
        <v>117</v>
      </c>
      <c r="B30" s="262" t="s">
        <v>114</v>
      </c>
      <c r="C30" s="257" t="s">
        <v>102</v>
      </c>
      <c r="D30" s="258" t="s">
        <v>103</v>
      </c>
      <c r="E30" s="258">
        <v>1</v>
      </c>
      <c r="F30" s="258" t="s">
        <v>118</v>
      </c>
      <c r="G30" s="546" t="s">
        <v>118</v>
      </c>
      <c r="H30" s="547"/>
      <c r="I30" s="259">
        <v>3.35</v>
      </c>
      <c r="J30" s="263">
        <f>0.03*1*0.4</f>
        <v>0.012</v>
      </c>
    </row>
    <row r="31" spans="1:10" ht="16.5" customHeight="1" thickBot="1">
      <c r="A31" s="261" t="s">
        <v>119</v>
      </c>
      <c r="B31" s="262" t="s">
        <v>114</v>
      </c>
      <c r="C31" s="257" t="s">
        <v>102</v>
      </c>
      <c r="D31" s="258" t="s">
        <v>103</v>
      </c>
      <c r="E31" s="258">
        <v>1</v>
      </c>
      <c r="F31" s="258" t="s">
        <v>120</v>
      </c>
      <c r="G31" s="546" t="s">
        <v>120</v>
      </c>
      <c r="H31" s="547"/>
      <c r="I31" s="259">
        <v>4.08</v>
      </c>
      <c r="J31" s="263">
        <f>0.03*1*0.5</f>
        <v>0.015</v>
      </c>
    </row>
    <row r="32" spans="1:10" ht="16.5" customHeight="1" thickBot="1">
      <c r="A32" s="261" t="s">
        <v>121</v>
      </c>
      <c r="B32" s="262" t="s">
        <v>114</v>
      </c>
      <c r="C32" s="257" t="s">
        <v>102</v>
      </c>
      <c r="D32" s="258" t="s">
        <v>103</v>
      </c>
      <c r="E32" s="258">
        <v>1</v>
      </c>
      <c r="F32" s="258" t="s">
        <v>122</v>
      </c>
      <c r="G32" s="546" t="s">
        <v>122</v>
      </c>
      <c r="H32" s="547"/>
      <c r="I32" s="259">
        <v>4.7</v>
      </c>
      <c r="J32" s="263">
        <f>0.03*1*0.6</f>
        <v>0.018</v>
      </c>
    </row>
    <row r="33" spans="1:10" ht="16.5" customHeight="1" thickBot="1">
      <c r="A33" s="261" t="s">
        <v>197</v>
      </c>
      <c r="B33" s="262" t="s">
        <v>198</v>
      </c>
      <c r="C33" s="257" t="s">
        <v>102</v>
      </c>
      <c r="D33" s="258" t="s">
        <v>113</v>
      </c>
      <c r="E33" s="258">
        <v>1</v>
      </c>
      <c r="F33" s="258" t="s">
        <v>199</v>
      </c>
      <c r="G33" s="546" t="s">
        <v>200</v>
      </c>
      <c r="H33" s="547"/>
      <c r="I33" s="259">
        <v>0.1</v>
      </c>
      <c r="J33" s="263">
        <f>0.03*0.02*0.3</f>
        <v>0.00017999999999999998</v>
      </c>
    </row>
    <row r="34" spans="1:10" ht="16.5" customHeight="1" thickBot="1">
      <c r="A34" s="261" t="s">
        <v>201</v>
      </c>
      <c r="B34" s="262" t="s">
        <v>198</v>
      </c>
      <c r="C34" s="257" t="s">
        <v>102</v>
      </c>
      <c r="D34" s="258" t="s">
        <v>113</v>
      </c>
      <c r="E34" s="258">
        <v>1</v>
      </c>
      <c r="F34" s="258" t="s">
        <v>204</v>
      </c>
      <c r="G34" s="546" t="s">
        <v>207</v>
      </c>
      <c r="H34" s="547"/>
      <c r="I34" s="259">
        <v>0.14</v>
      </c>
      <c r="J34" s="263">
        <f>0.03*0.02*0.4</f>
        <v>0.00023999999999999998</v>
      </c>
    </row>
    <row r="35" spans="1:10" ht="16.5" customHeight="1" thickBot="1">
      <c r="A35" s="261" t="s">
        <v>202</v>
      </c>
      <c r="B35" s="262" t="s">
        <v>198</v>
      </c>
      <c r="C35" s="257" t="s">
        <v>102</v>
      </c>
      <c r="D35" s="258" t="s">
        <v>113</v>
      </c>
      <c r="E35" s="258">
        <v>1</v>
      </c>
      <c r="F35" s="258" t="s">
        <v>205</v>
      </c>
      <c r="G35" s="546" t="s">
        <v>208</v>
      </c>
      <c r="H35" s="547"/>
      <c r="I35" s="259">
        <v>0.16</v>
      </c>
      <c r="J35" s="263">
        <f>0.03*0.02*0.5</f>
        <v>0.0003</v>
      </c>
    </row>
    <row r="36" spans="1:10" ht="16.5" customHeight="1" thickBot="1">
      <c r="A36" s="261" t="s">
        <v>203</v>
      </c>
      <c r="B36" s="262" t="s">
        <v>198</v>
      </c>
      <c r="C36" s="257" t="s">
        <v>102</v>
      </c>
      <c r="D36" s="258" t="s">
        <v>113</v>
      </c>
      <c r="E36" s="258">
        <v>1</v>
      </c>
      <c r="F36" s="258" t="s">
        <v>206</v>
      </c>
      <c r="G36" s="546" t="s">
        <v>209</v>
      </c>
      <c r="H36" s="547"/>
      <c r="I36" s="259">
        <v>0.18</v>
      </c>
      <c r="J36" s="263">
        <f>0.03*0.02*0.6</f>
        <v>0.00035999999999999997</v>
      </c>
    </row>
    <row r="37" spans="1:10" ht="16.5" customHeight="1" thickBot="1">
      <c r="A37" s="261" t="s">
        <v>211</v>
      </c>
      <c r="B37" s="262" t="s">
        <v>198</v>
      </c>
      <c r="C37" s="257" t="s">
        <v>102</v>
      </c>
      <c r="D37" s="258" t="s">
        <v>113</v>
      </c>
      <c r="E37" s="258">
        <v>1</v>
      </c>
      <c r="F37" s="258" t="s">
        <v>212</v>
      </c>
      <c r="G37" s="546" t="s">
        <v>213</v>
      </c>
      <c r="H37" s="547"/>
      <c r="I37" s="259">
        <v>0.32</v>
      </c>
      <c r="J37" s="263">
        <f>0.03*0.02*0.9</f>
        <v>0.00054</v>
      </c>
    </row>
    <row r="38" spans="1:10" ht="16.5" customHeight="1">
      <c r="A38" s="89"/>
      <c r="B38" s="89"/>
      <c r="C38" s="90"/>
      <c r="D38" s="90"/>
      <c r="E38" s="7"/>
      <c r="F38" s="90"/>
      <c r="G38" s="90"/>
      <c r="H38" s="90"/>
      <c r="I38" s="7"/>
      <c r="J38" s="7"/>
    </row>
  </sheetData>
  <sheetProtection/>
  <mergeCells count="102">
    <mergeCell ref="J10:J11"/>
    <mergeCell ref="A8:A9"/>
    <mergeCell ref="B8:B9"/>
    <mergeCell ref="C8:C9"/>
    <mergeCell ref="D8:D9"/>
    <mergeCell ref="E8:E9"/>
    <mergeCell ref="I8:I9"/>
    <mergeCell ref="J8:J9"/>
    <mergeCell ref="J6:J7"/>
    <mergeCell ref="A4:A5"/>
    <mergeCell ref="B4:B5"/>
    <mergeCell ref="C4:C5"/>
    <mergeCell ref="D4:D5"/>
    <mergeCell ref="E4:E5"/>
    <mergeCell ref="A6:A7"/>
    <mergeCell ref="B6:B7"/>
    <mergeCell ref="C6:C7"/>
    <mergeCell ref="A26:A27"/>
    <mergeCell ref="B26:B27"/>
    <mergeCell ref="C26:C27"/>
    <mergeCell ref="D26:D27"/>
    <mergeCell ref="E26:E27"/>
    <mergeCell ref="I6:I7"/>
    <mergeCell ref="G10:H11"/>
    <mergeCell ref="I10:I11"/>
    <mergeCell ref="G37:H37"/>
    <mergeCell ref="F2:H3"/>
    <mergeCell ref="F4:F5"/>
    <mergeCell ref="G4:H5"/>
    <mergeCell ref="F8:F9"/>
    <mergeCell ref="G8:H9"/>
    <mergeCell ref="G33:H33"/>
    <mergeCell ref="G34:H34"/>
    <mergeCell ref="G35:H35"/>
    <mergeCell ref="F26:F27"/>
    <mergeCell ref="I20:I21"/>
    <mergeCell ref="J20:J21"/>
    <mergeCell ref="G36:H36"/>
    <mergeCell ref="D6:D7"/>
    <mergeCell ref="E6:E7"/>
    <mergeCell ref="F6:F7"/>
    <mergeCell ref="G6:H7"/>
    <mergeCell ref="D10:D11"/>
    <mergeCell ref="E10:E11"/>
    <mergeCell ref="F20:F21"/>
    <mergeCell ref="G31:H31"/>
    <mergeCell ref="G32:H32"/>
    <mergeCell ref="G28:H28"/>
    <mergeCell ref="I26:I27"/>
    <mergeCell ref="J26:J27"/>
    <mergeCell ref="G30:H30"/>
    <mergeCell ref="G29:H29"/>
    <mergeCell ref="G26:H27"/>
    <mergeCell ref="A20:A21"/>
    <mergeCell ref="B20:B21"/>
    <mergeCell ref="C20:C21"/>
    <mergeCell ref="D20:D21"/>
    <mergeCell ref="E20:E21"/>
    <mergeCell ref="F10:F11"/>
    <mergeCell ref="A10:A11"/>
    <mergeCell ref="B10:B11"/>
    <mergeCell ref="C10:C11"/>
    <mergeCell ref="C18:C19"/>
    <mergeCell ref="D18:D19"/>
    <mergeCell ref="E18:E19"/>
    <mergeCell ref="G14:H15"/>
    <mergeCell ref="G16:H17"/>
    <mergeCell ref="A1:J1"/>
    <mergeCell ref="F18:F19"/>
    <mergeCell ref="G18:H19"/>
    <mergeCell ref="I18:I19"/>
    <mergeCell ref="J18:J19"/>
    <mergeCell ref="A16:A17"/>
    <mergeCell ref="A25:J25"/>
    <mergeCell ref="B16:B17"/>
    <mergeCell ref="C16:C17"/>
    <mergeCell ref="D16:D17"/>
    <mergeCell ref="E16:E17"/>
    <mergeCell ref="G20:H21"/>
    <mergeCell ref="F16:F17"/>
    <mergeCell ref="A18:A19"/>
    <mergeCell ref="B18:B19"/>
    <mergeCell ref="A13:J13"/>
    <mergeCell ref="A2:A3"/>
    <mergeCell ref="B2:B3"/>
    <mergeCell ref="C2:C3"/>
    <mergeCell ref="D2:D3"/>
    <mergeCell ref="E2:E3"/>
    <mergeCell ref="I2:I3"/>
    <mergeCell ref="J2:J3"/>
    <mergeCell ref="I4:I5"/>
    <mergeCell ref="J4:J5"/>
    <mergeCell ref="I16:I17"/>
    <mergeCell ref="J16:J17"/>
    <mergeCell ref="A14:A15"/>
    <mergeCell ref="B14:B15"/>
    <mergeCell ref="C14:C15"/>
    <mergeCell ref="D14:D15"/>
    <mergeCell ref="E14:E15"/>
    <mergeCell ref="F14:F15"/>
    <mergeCell ref="I14:I15"/>
    <mergeCell ref="J14:J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63" sqref="C63"/>
    </sheetView>
  </sheetViews>
  <sheetFormatPr defaultColWidth="9.00390625" defaultRowHeight="12.75"/>
  <cols>
    <col min="1" max="1" width="32.50390625" style="0" customWidth="1"/>
    <col min="3" max="3" width="21.50390625" style="0" bestFit="1" customWidth="1"/>
    <col min="4" max="4" width="12.00390625" style="0" bestFit="1" customWidth="1"/>
    <col min="5" max="5" width="14.00390625" style="0" bestFit="1" customWidth="1"/>
    <col min="13" max="13" width="16.125" style="14" customWidth="1"/>
    <col min="14" max="14" width="16.50390625" style="0" customWidth="1"/>
    <col min="15" max="15" width="12.375" style="0" customWidth="1"/>
  </cols>
  <sheetData>
    <row r="1" spans="1:12" ht="13.5" thickBot="1">
      <c r="A1" s="419" t="s">
        <v>24</v>
      </c>
      <c r="B1" s="377"/>
      <c r="C1" s="377"/>
      <c r="D1" s="364"/>
      <c r="E1" s="364"/>
      <c r="F1" s="377"/>
      <c r="G1" s="377"/>
      <c r="H1" s="377"/>
      <c r="I1" s="364"/>
      <c r="J1" s="364"/>
      <c r="K1" s="364"/>
      <c r="L1" s="378"/>
    </row>
    <row r="2" spans="1:14" ht="12.75">
      <c r="A2" s="313" t="s">
        <v>3</v>
      </c>
      <c r="B2" s="330" t="s">
        <v>22</v>
      </c>
      <c r="C2" s="313" t="s">
        <v>10</v>
      </c>
      <c r="D2" s="311" t="s">
        <v>23</v>
      </c>
      <c r="E2" s="315" t="s">
        <v>8</v>
      </c>
      <c r="F2" s="313" t="s">
        <v>4</v>
      </c>
      <c r="G2" s="314"/>
      <c r="H2" s="314"/>
      <c r="I2" s="327" t="s">
        <v>5</v>
      </c>
      <c r="J2" s="327" t="s">
        <v>75</v>
      </c>
      <c r="K2" s="379" t="s">
        <v>76</v>
      </c>
      <c r="L2" s="570" t="s">
        <v>77</v>
      </c>
      <c r="M2" s="452"/>
      <c r="N2" s="562"/>
    </row>
    <row r="3" spans="1:14" ht="13.5" thickBot="1">
      <c r="A3" s="329"/>
      <c r="B3" s="338"/>
      <c r="C3" s="329"/>
      <c r="D3" s="312"/>
      <c r="E3" s="569"/>
      <c r="F3" s="128" t="s">
        <v>72</v>
      </c>
      <c r="G3" s="70" t="s">
        <v>70</v>
      </c>
      <c r="H3" s="130" t="s">
        <v>71</v>
      </c>
      <c r="I3" s="358"/>
      <c r="J3" s="358"/>
      <c r="K3" s="447"/>
      <c r="L3" s="571"/>
      <c r="M3" s="452"/>
      <c r="N3" s="562"/>
    </row>
    <row r="4" spans="1:14" ht="12.75">
      <c r="A4" s="346" t="s">
        <v>170</v>
      </c>
      <c r="B4" s="392">
        <v>2</v>
      </c>
      <c r="C4" s="132" t="s">
        <v>11</v>
      </c>
      <c r="D4" s="165">
        <v>1</v>
      </c>
      <c r="E4" s="166" t="s">
        <v>13</v>
      </c>
      <c r="F4" s="36">
        <v>830</v>
      </c>
      <c r="G4" s="34">
        <v>540</v>
      </c>
      <c r="H4" s="50">
        <v>150</v>
      </c>
      <c r="I4" s="154">
        <f aca="true" t="shared" si="0" ref="I4:I11">F4*G4*H4/1000000000</f>
        <v>0.06723</v>
      </c>
      <c r="J4" s="341">
        <f>I5+I4</f>
        <v>1.131705</v>
      </c>
      <c r="K4" s="88">
        <v>19.41</v>
      </c>
      <c r="L4" s="299">
        <f>SUM(K4:K5)</f>
        <v>199.31</v>
      </c>
      <c r="N4" s="14"/>
    </row>
    <row r="5" spans="1:14" ht="13.5" thickBot="1">
      <c r="A5" s="348"/>
      <c r="B5" s="348"/>
      <c r="C5" s="155" t="s">
        <v>25</v>
      </c>
      <c r="D5" s="155">
        <v>1</v>
      </c>
      <c r="E5" s="126" t="s">
        <v>46</v>
      </c>
      <c r="F5" s="40">
        <v>950</v>
      </c>
      <c r="G5" s="86">
        <v>830</v>
      </c>
      <c r="H5" s="39">
        <v>1350</v>
      </c>
      <c r="I5" s="147">
        <f t="shared" si="0"/>
        <v>1.064475</v>
      </c>
      <c r="J5" s="343"/>
      <c r="K5" s="87">
        <v>179.9</v>
      </c>
      <c r="L5" s="301"/>
      <c r="M5" s="26"/>
      <c r="N5" s="14"/>
    </row>
    <row r="6" spans="1:14" ht="12.75">
      <c r="A6" s="346" t="s">
        <v>171</v>
      </c>
      <c r="B6" s="346">
        <v>2</v>
      </c>
      <c r="C6" s="132" t="s">
        <v>11</v>
      </c>
      <c r="D6" s="132">
        <v>1</v>
      </c>
      <c r="E6" s="91" t="s">
        <v>13</v>
      </c>
      <c r="F6" s="36">
        <v>1100</v>
      </c>
      <c r="G6" s="34">
        <v>540</v>
      </c>
      <c r="H6" s="50">
        <v>150</v>
      </c>
      <c r="I6" s="144">
        <f>F6*G6*H6/1000000000</f>
        <v>0.0891</v>
      </c>
      <c r="J6" s="344">
        <f>I7+I6</f>
        <v>1.489725</v>
      </c>
      <c r="K6" s="56">
        <v>21.34</v>
      </c>
      <c r="L6" s="299">
        <f>SUM(K6:K7)</f>
        <v>240.34</v>
      </c>
      <c r="N6" s="14"/>
    </row>
    <row r="7" spans="1:14" ht="13.5" thickBot="1">
      <c r="A7" s="348"/>
      <c r="B7" s="348"/>
      <c r="C7" s="155" t="s">
        <v>25</v>
      </c>
      <c r="D7" s="155">
        <v>1</v>
      </c>
      <c r="E7" s="126" t="s">
        <v>46</v>
      </c>
      <c r="F7" s="40">
        <v>1250</v>
      </c>
      <c r="G7" s="86">
        <v>830</v>
      </c>
      <c r="H7" s="39">
        <v>1350</v>
      </c>
      <c r="I7" s="147">
        <f t="shared" si="0"/>
        <v>1.400625</v>
      </c>
      <c r="J7" s="343"/>
      <c r="K7" s="87">
        <v>219</v>
      </c>
      <c r="L7" s="301"/>
      <c r="N7" s="14"/>
    </row>
    <row r="8" spans="1:14" ht="12.75">
      <c r="A8" s="346" t="s">
        <v>172</v>
      </c>
      <c r="B8" s="346">
        <v>2</v>
      </c>
      <c r="C8" s="132" t="s">
        <v>11</v>
      </c>
      <c r="D8" s="132">
        <v>1</v>
      </c>
      <c r="E8" s="91" t="s">
        <v>13</v>
      </c>
      <c r="F8" s="36">
        <v>1400</v>
      </c>
      <c r="G8" s="34">
        <v>540</v>
      </c>
      <c r="H8" s="50">
        <v>150</v>
      </c>
      <c r="I8" s="144">
        <f>F8*G8*H8/1000000000</f>
        <v>0.1134</v>
      </c>
      <c r="J8" s="344">
        <f>I9+I8</f>
        <v>1.850175</v>
      </c>
      <c r="K8" s="56">
        <v>23.09</v>
      </c>
      <c r="L8" s="299">
        <f>SUM(K8:K9)</f>
        <v>280.15999999999997</v>
      </c>
      <c r="N8" s="14"/>
    </row>
    <row r="9" spans="1:14" ht="13.5" thickBot="1">
      <c r="A9" s="348"/>
      <c r="B9" s="348"/>
      <c r="C9" s="155" t="s">
        <v>25</v>
      </c>
      <c r="D9" s="155">
        <v>1</v>
      </c>
      <c r="E9" s="126" t="s">
        <v>46</v>
      </c>
      <c r="F9" s="40">
        <v>1550</v>
      </c>
      <c r="G9" s="86">
        <v>830</v>
      </c>
      <c r="H9" s="39">
        <v>1350</v>
      </c>
      <c r="I9" s="147">
        <f t="shared" si="0"/>
        <v>1.736775</v>
      </c>
      <c r="J9" s="343"/>
      <c r="K9" s="87">
        <v>257.07</v>
      </c>
      <c r="L9" s="301"/>
      <c r="N9" s="14"/>
    </row>
    <row r="10" spans="1:14" ht="12.75">
      <c r="A10" s="346" t="s">
        <v>173</v>
      </c>
      <c r="B10" s="346">
        <v>2</v>
      </c>
      <c r="C10" s="132" t="s">
        <v>11</v>
      </c>
      <c r="D10" s="132">
        <v>1</v>
      </c>
      <c r="E10" s="91" t="s">
        <v>13</v>
      </c>
      <c r="F10" s="36">
        <v>1700</v>
      </c>
      <c r="G10" s="34">
        <v>540</v>
      </c>
      <c r="H10" s="50">
        <v>150</v>
      </c>
      <c r="I10" s="144">
        <f>F10*G10*H10/1000000000</f>
        <v>0.1377</v>
      </c>
      <c r="J10" s="344">
        <f>I11+I10</f>
        <v>2.2106250000000003</v>
      </c>
      <c r="K10" s="56">
        <v>24.85</v>
      </c>
      <c r="L10" s="299">
        <f>SUM(K10:K11)</f>
        <v>320.49</v>
      </c>
      <c r="N10" s="14"/>
    </row>
    <row r="11" spans="1:14" ht="13.5" thickBot="1">
      <c r="A11" s="349"/>
      <c r="B11" s="349"/>
      <c r="C11" s="173" t="s">
        <v>25</v>
      </c>
      <c r="D11" s="173">
        <v>1</v>
      </c>
      <c r="E11" s="121" t="s">
        <v>46</v>
      </c>
      <c r="F11" s="40">
        <v>1850</v>
      </c>
      <c r="G11" s="86">
        <v>830</v>
      </c>
      <c r="H11" s="39">
        <v>1350</v>
      </c>
      <c r="I11" s="146">
        <f t="shared" si="0"/>
        <v>2.072925</v>
      </c>
      <c r="J11" s="345"/>
      <c r="K11" s="57">
        <v>295.64</v>
      </c>
      <c r="L11" s="410"/>
      <c r="N11" s="14"/>
    </row>
    <row r="12" spans="1:14" ht="13.5" thickBot="1">
      <c r="A12" s="7"/>
      <c r="B12" s="7"/>
      <c r="C12" s="7"/>
      <c r="D12" s="7"/>
      <c r="E12" s="7"/>
      <c r="F12" s="4"/>
      <c r="G12" s="4"/>
      <c r="H12" s="4"/>
      <c r="I12" s="23"/>
      <c r="J12" s="4"/>
      <c r="K12" s="4"/>
      <c r="L12" s="4"/>
      <c r="N12" s="14"/>
    </row>
    <row r="13" spans="1:12" ht="13.5" thickBot="1">
      <c r="A13" s="363" t="s">
        <v>184</v>
      </c>
      <c r="B13" s="364"/>
      <c r="C13" s="364"/>
      <c r="D13" s="364"/>
      <c r="E13" s="364"/>
      <c r="F13" s="377"/>
      <c r="G13" s="377"/>
      <c r="H13" s="377"/>
      <c r="I13" s="364"/>
      <c r="J13" s="364"/>
      <c r="K13" s="364"/>
      <c r="L13" s="365"/>
    </row>
    <row r="14" spans="1:14" ht="12.75">
      <c r="A14" s="313" t="s">
        <v>3</v>
      </c>
      <c r="B14" s="330" t="s">
        <v>22</v>
      </c>
      <c r="C14" s="313" t="s">
        <v>10</v>
      </c>
      <c r="D14" s="313" t="s">
        <v>23</v>
      </c>
      <c r="E14" s="311" t="s">
        <v>8</v>
      </c>
      <c r="F14" s="313" t="s">
        <v>4</v>
      </c>
      <c r="G14" s="314"/>
      <c r="H14" s="314"/>
      <c r="I14" s="379" t="s">
        <v>5</v>
      </c>
      <c r="J14" s="563" t="s">
        <v>75</v>
      </c>
      <c r="K14" s="563" t="s">
        <v>76</v>
      </c>
      <c r="L14" s="565" t="s">
        <v>77</v>
      </c>
      <c r="M14" s="500"/>
      <c r="N14" s="562"/>
    </row>
    <row r="15" spans="1:14" ht="13.5" thickBot="1">
      <c r="A15" s="329"/>
      <c r="B15" s="338"/>
      <c r="C15" s="329"/>
      <c r="D15" s="337"/>
      <c r="E15" s="383"/>
      <c r="F15" s="128" t="s">
        <v>72</v>
      </c>
      <c r="G15" s="70" t="s">
        <v>70</v>
      </c>
      <c r="H15" s="130" t="s">
        <v>71</v>
      </c>
      <c r="I15" s="447"/>
      <c r="J15" s="564"/>
      <c r="K15" s="564"/>
      <c r="L15" s="566"/>
      <c r="M15" s="500"/>
      <c r="N15" s="562"/>
    </row>
    <row r="16" spans="1:14" ht="12.75">
      <c r="A16" s="346" t="s">
        <v>187</v>
      </c>
      <c r="B16" s="392">
        <v>2</v>
      </c>
      <c r="C16" s="132" t="s">
        <v>11</v>
      </c>
      <c r="D16" s="165">
        <v>1</v>
      </c>
      <c r="E16" s="91" t="s">
        <v>13</v>
      </c>
      <c r="F16" s="36">
        <v>830</v>
      </c>
      <c r="G16" s="34">
        <v>540</v>
      </c>
      <c r="H16" s="50">
        <v>150</v>
      </c>
      <c r="I16" s="154">
        <f aca="true" t="shared" si="1" ref="I16:I23">F16*G16*H16/1000000000</f>
        <v>0.06723</v>
      </c>
      <c r="J16" s="341">
        <f>I17+I16</f>
        <v>1.131705</v>
      </c>
      <c r="K16" s="88">
        <v>19.41</v>
      </c>
      <c r="L16" s="567">
        <f>SUM(K16:K17)</f>
        <v>219.41</v>
      </c>
      <c r="N16" s="14"/>
    </row>
    <row r="17" spans="1:14" ht="13.5" thickBot="1">
      <c r="A17" s="348"/>
      <c r="B17" s="348"/>
      <c r="C17" s="155" t="s">
        <v>25</v>
      </c>
      <c r="D17" s="155">
        <v>1</v>
      </c>
      <c r="E17" s="126" t="s">
        <v>46</v>
      </c>
      <c r="F17" s="40">
        <v>950</v>
      </c>
      <c r="G17" s="86">
        <v>830</v>
      </c>
      <c r="H17" s="39">
        <v>1350</v>
      </c>
      <c r="I17" s="147">
        <f t="shared" si="1"/>
        <v>1.064475</v>
      </c>
      <c r="J17" s="343"/>
      <c r="K17" s="87">
        <v>200</v>
      </c>
      <c r="L17" s="301"/>
      <c r="N17" s="14"/>
    </row>
    <row r="18" spans="1:14" ht="12.75">
      <c r="A18" s="346" t="s">
        <v>188</v>
      </c>
      <c r="B18" s="346">
        <v>2</v>
      </c>
      <c r="C18" s="132" t="s">
        <v>11</v>
      </c>
      <c r="D18" s="132">
        <v>1</v>
      </c>
      <c r="E18" s="91" t="s">
        <v>13</v>
      </c>
      <c r="F18" s="36">
        <v>1100</v>
      </c>
      <c r="G18" s="34">
        <v>540</v>
      </c>
      <c r="H18" s="50">
        <v>150</v>
      </c>
      <c r="I18" s="144">
        <f t="shared" si="1"/>
        <v>0.0891</v>
      </c>
      <c r="J18" s="344">
        <f>I19+I18</f>
        <v>1.489725</v>
      </c>
      <c r="K18" s="56">
        <v>21.34</v>
      </c>
      <c r="L18" s="299">
        <f>SUM(K18:K19)</f>
        <v>261.34</v>
      </c>
      <c r="N18" s="14"/>
    </row>
    <row r="19" spans="1:14" ht="13.5" thickBot="1">
      <c r="A19" s="348"/>
      <c r="B19" s="348"/>
      <c r="C19" s="155" t="s">
        <v>25</v>
      </c>
      <c r="D19" s="155">
        <v>1</v>
      </c>
      <c r="E19" s="126" t="s">
        <v>46</v>
      </c>
      <c r="F19" s="40">
        <v>1250</v>
      </c>
      <c r="G19" s="86">
        <v>830</v>
      </c>
      <c r="H19" s="39">
        <v>1350</v>
      </c>
      <c r="I19" s="147">
        <f t="shared" si="1"/>
        <v>1.400625</v>
      </c>
      <c r="J19" s="343"/>
      <c r="K19" s="87">
        <v>240</v>
      </c>
      <c r="L19" s="301"/>
      <c r="N19" s="14"/>
    </row>
    <row r="20" spans="1:14" ht="12.75">
      <c r="A20" s="346" t="s">
        <v>189</v>
      </c>
      <c r="B20" s="346">
        <v>2</v>
      </c>
      <c r="C20" s="132" t="s">
        <v>11</v>
      </c>
      <c r="D20" s="132">
        <v>1</v>
      </c>
      <c r="E20" s="91" t="s">
        <v>13</v>
      </c>
      <c r="F20" s="36">
        <v>1400</v>
      </c>
      <c r="G20" s="34">
        <v>540</v>
      </c>
      <c r="H20" s="50">
        <v>150</v>
      </c>
      <c r="I20" s="144">
        <f t="shared" si="1"/>
        <v>0.1134</v>
      </c>
      <c r="J20" s="344">
        <f>I21+I20</f>
        <v>1.850175</v>
      </c>
      <c r="K20" s="56">
        <v>23.09</v>
      </c>
      <c r="L20" s="299">
        <f>SUM(K20:K21)</f>
        <v>304.09</v>
      </c>
      <c r="N20" s="14"/>
    </row>
    <row r="21" spans="1:14" ht="13.5" thickBot="1">
      <c r="A21" s="348"/>
      <c r="B21" s="348"/>
      <c r="C21" s="155" t="s">
        <v>25</v>
      </c>
      <c r="D21" s="155">
        <v>1</v>
      </c>
      <c r="E21" s="126" t="s">
        <v>46</v>
      </c>
      <c r="F21" s="40">
        <v>1550</v>
      </c>
      <c r="G21" s="86">
        <v>830</v>
      </c>
      <c r="H21" s="39">
        <v>1350</v>
      </c>
      <c r="I21" s="147">
        <f t="shared" si="1"/>
        <v>1.736775</v>
      </c>
      <c r="J21" s="343"/>
      <c r="K21" s="87">
        <v>281</v>
      </c>
      <c r="L21" s="301"/>
      <c r="N21" s="14"/>
    </row>
    <row r="22" spans="1:14" ht="12.75">
      <c r="A22" s="346" t="s">
        <v>190</v>
      </c>
      <c r="B22" s="346">
        <v>2</v>
      </c>
      <c r="C22" s="132" t="s">
        <v>11</v>
      </c>
      <c r="D22" s="132">
        <v>1</v>
      </c>
      <c r="E22" s="91" t="s">
        <v>13</v>
      </c>
      <c r="F22" s="36">
        <v>1700</v>
      </c>
      <c r="G22" s="34">
        <v>540</v>
      </c>
      <c r="H22" s="50">
        <v>150</v>
      </c>
      <c r="I22" s="144">
        <f t="shared" si="1"/>
        <v>0.1377</v>
      </c>
      <c r="J22" s="344">
        <f>I23+I22</f>
        <v>2.2106250000000003</v>
      </c>
      <c r="K22" s="56">
        <v>24.85</v>
      </c>
      <c r="L22" s="299">
        <f>SUM(K22:K23)</f>
        <v>343.85</v>
      </c>
      <c r="N22" s="14"/>
    </row>
    <row r="23" spans="1:14" ht="13.5" thickBot="1">
      <c r="A23" s="349"/>
      <c r="B23" s="349"/>
      <c r="C23" s="173" t="s">
        <v>25</v>
      </c>
      <c r="D23" s="173">
        <v>1</v>
      </c>
      <c r="E23" s="121" t="s">
        <v>46</v>
      </c>
      <c r="F23" s="40">
        <v>1850</v>
      </c>
      <c r="G23" s="86">
        <v>830</v>
      </c>
      <c r="H23" s="39">
        <v>1350</v>
      </c>
      <c r="I23" s="146">
        <f t="shared" si="1"/>
        <v>2.072925</v>
      </c>
      <c r="J23" s="345"/>
      <c r="K23" s="57">
        <v>319</v>
      </c>
      <c r="L23" s="410"/>
      <c r="N23" s="14"/>
    </row>
    <row r="24" spans="1:14" ht="12.75">
      <c r="A24" s="7"/>
      <c r="B24" s="7"/>
      <c r="C24" s="7"/>
      <c r="D24" s="7"/>
      <c r="E24" s="7"/>
      <c r="F24" s="4"/>
      <c r="G24" s="4"/>
      <c r="H24" s="4"/>
      <c r="I24" s="23"/>
      <c r="J24" s="4"/>
      <c r="K24" s="4"/>
      <c r="L24" s="4"/>
      <c r="N24" s="14"/>
    </row>
    <row r="25" spans="1:14" ht="13.5" thickBot="1">
      <c r="A25" s="7"/>
      <c r="B25" s="7"/>
      <c r="C25" s="7"/>
      <c r="D25" s="7"/>
      <c r="E25" s="7"/>
      <c r="F25" s="7"/>
      <c r="G25" s="7"/>
      <c r="H25" s="7"/>
      <c r="I25" s="9"/>
      <c r="J25" s="7"/>
      <c r="K25" s="7"/>
      <c r="L25" s="7"/>
      <c r="N25" s="14"/>
    </row>
    <row r="26" spans="1:12" ht="13.5" thickBot="1">
      <c r="A26" s="363" t="s">
        <v>178</v>
      </c>
      <c r="B26" s="364"/>
      <c r="C26" s="364"/>
      <c r="D26" s="364"/>
      <c r="E26" s="364"/>
      <c r="F26" s="377"/>
      <c r="G26" s="377"/>
      <c r="H26" s="377"/>
      <c r="I26" s="364"/>
      <c r="J26" s="364"/>
      <c r="K26" s="364"/>
      <c r="L26" s="365"/>
    </row>
    <row r="27" spans="1:14" ht="12.75">
      <c r="A27" s="313" t="s">
        <v>3</v>
      </c>
      <c r="B27" s="330" t="s">
        <v>22</v>
      </c>
      <c r="C27" s="313" t="s">
        <v>10</v>
      </c>
      <c r="D27" s="313" t="s">
        <v>23</v>
      </c>
      <c r="E27" s="311" t="s">
        <v>8</v>
      </c>
      <c r="F27" s="313" t="s">
        <v>4</v>
      </c>
      <c r="G27" s="314"/>
      <c r="H27" s="314"/>
      <c r="I27" s="379" t="s">
        <v>5</v>
      </c>
      <c r="J27" s="563" t="s">
        <v>75</v>
      </c>
      <c r="K27" s="563" t="s">
        <v>76</v>
      </c>
      <c r="L27" s="565" t="s">
        <v>77</v>
      </c>
      <c r="M27" s="500"/>
      <c r="N27" s="562"/>
    </row>
    <row r="28" spans="1:14" ht="13.5" thickBot="1">
      <c r="A28" s="329"/>
      <c r="B28" s="331"/>
      <c r="C28" s="329"/>
      <c r="D28" s="329"/>
      <c r="E28" s="383"/>
      <c r="F28" s="128" t="s">
        <v>72</v>
      </c>
      <c r="G28" s="70" t="s">
        <v>70</v>
      </c>
      <c r="H28" s="130" t="s">
        <v>71</v>
      </c>
      <c r="I28" s="447"/>
      <c r="J28" s="564"/>
      <c r="K28" s="564"/>
      <c r="L28" s="566"/>
      <c r="M28" s="500"/>
      <c r="N28" s="562"/>
    </row>
    <row r="29" spans="1:14" ht="12.75">
      <c r="A29" s="346" t="s">
        <v>174</v>
      </c>
      <c r="B29" s="346">
        <v>2</v>
      </c>
      <c r="C29" s="132" t="s">
        <v>11</v>
      </c>
      <c r="D29" s="132">
        <v>1</v>
      </c>
      <c r="E29" s="91" t="s">
        <v>13</v>
      </c>
      <c r="F29" s="36">
        <v>830</v>
      </c>
      <c r="G29" s="34">
        <v>540</v>
      </c>
      <c r="H29" s="50">
        <v>150</v>
      </c>
      <c r="I29" s="154">
        <f aca="true" t="shared" si="2" ref="I29:I36">F29*G29*H29/1000000000</f>
        <v>0.06723</v>
      </c>
      <c r="J29" s="341">
        <f>I30+I29</f>
        <v>1.131705</v>
      </c>
      <c r="K29" s="88">
        <v>19.41</v>
      </c>
      <c r="L29" s="567">
        <f>SUM(K29:K30)</f>
        <v>183.76</v>
      </c>
      <c r="N29" s="14"/>
    </row>
    <row r="30" spans="1:14" ht="13.5" thickBot="1">
      <c r="A30" s="348"/>
      <c r="B30" s="348"/>
      <c r="C30" s="155" t="s">
        <v>25</v>
      </c>
      <c r="D30" s="155">
        <v>1</v>
      </c>
      <c r="E30" s="126" t="s">
        <v>46</v>
      </c>
      <c r="F30" s="40">
        <v>950</v>
      </c>
      <c r="G30" s="86">
        <v>830</v>
      </c>
      <c r="H30" s="39">
        <v>1350</v>
      </c>
      <c r="I30" s="147">
        <f t="shared" si="2"/>
        <v>1.064475</v>
      </c>
      <c r="J30" s="343"/>
      <c r="K30" s="87">
        <v>164.35</v>
      </c>
      <c r="L30" s="301"/>
      <c r="N30" s="14"/>
    </row>
    <row r="31" spans="1:14" ht="12.75">
      <c r="A31" s="346" t="s">
        <v>175</v>
      </c>
      <c r="B31" s="346">
        <v>2</v>
      </c>
      <c r="C31" s="132" t="s">
        <v>11</v>
      </c>
      <c r="D31" s="132">
        <v>1</v>
      </c>
      <c r="E31" s="91" t="s">
        <v>13</v>
      </c>
      <c r="F31" s="36">
        <v>110</v>
      </c>
      <c r="G31" s="34">
        <v>540</v>
      </c>
      <c r="H31" s="50">
        <v>150</v>
      </c>
      <c r="I31" s="144">
        <f t="shared" si="2"/>
        <v>0.00891</v>
      </c>
      <c r="J31" s="344">
        <f>I32+I31</f>
        <v>1.409535</v>
      </c>
      <c r="K31" s="56">
        <v>21.34</v>
      </c>
      <c r="L31" s="299">
        <f>SUM(K31:K32)</f>
        <v>209.63</v>
      </c>
      <c r="N31" s="14"/>
    </row>
    <row r="32" spans="1:14" ht="13.5" thickBot="1">
      <c r="A32" s="348"/>
      <c r="B32" s="348"/>
      <c r="C32" s="155" t="s">
        <v>25</v>
      </c>
      <c r="D32" s="155">
        <v>1</v>
      </c>
      <c r="E32" s="126" t="s">
        <v>46</v>
      </c>
      <c r="F32" s="40">
        <v>1250</v>
      </c>
      <c r="G32" s="86">
        <v>830</v>
      </c>
      <c r="H32" s="39">
        <v>1350</v>
      </c>
      <c r="I32" s="147">
        <f t="shared" si="2"/>
        <v>1.400625</v>
      </c>
      <c r="J32" s="343"/>
      <c r="K32" s="87">
        <v>188.29</v>
      </c>
      <c r="L32" s="301"/>
      <c r="N32" s="14"/>
    </row>
    <row r="33" spans="1:14" ht="12.75">
      <c r="A33" s="346" t="s">
        <v>176</v>
      </c>
      <c r="B33" s="346">
        <v>2</v>
      </c>
      <c r="C33" s="132" t="s">
        <v>11</v>
      </c>
      <c r="D33" s="132">
        <v>1</v>
      </c>
      <c r="E33" s="91" t="s">
        <v>13</v>
      </c>
      <c r="F33" s="36">
        <v>1400</v>
      </c>
      <c r="G33" s="34">
        <v>540</v>
      </c>
      <c r="H33" s="50">
        <v>150</v>
      </c>
      <c r="I33" s="144">
        <f t="shared" si="2"/>
        <v>0.1134</v>
      </c>
      <c r="J33" s="344">
        <f>I34+I33</f>
        <v>1.850175</v>
      </c>
      <c r="K33" s="56">
        <v>23.09</v>
      </c>
      <c r="L33" s="299">
        <f>SUM(K33:K34)</f>
        <v>242.89000000000001</v>
      </c>
      <c r="N33" s="14"/>
    </row>
    <row r="34" spans="1:14" ht="13.5" thickBot="1">
      <c r="A34" s="348"/>
      <c r="B34" s="348"/>
      <c r="C34" s="155" t="s">
        <v>25</v>
      </c>
      <c r="D34" s="155">
        <v>1</v>
      </c>
      <c r="E34" s="126" t="s">
        <v>46</v>
      </c>
      <c r="F34" s="40">
        <v>1550</v>
      </c>
      <c r="G34" s="86">
        <v>830</v>
      </c>
      <c r="H34" s="39">
        <v>1350</v>
      </c>
      <c r="I34" s="147">
        <f t="shared" si="2"/>
        <v>1.736775</v>
      </c>
      <c r="J34" s="343"/>
      <c r="K34" s="87">
        <v>219.8</v>
      </c>
      <c r="L34" s="301"/>
      <c r="N34" s="14"/>
    </row>
    <row r="35" spans="1:14" ht="12.75">
      <c r="A35" s="346" t="s">
        <v>177</v>
      </c>
      <c r="B35" s="346">
        <v>2</v>
      </c>
      <c r="C35" s="132" t="s">
        <v>11</v>
      </c>
      <c r="D35" s="132">
        <v>1</v>
      </c>
      <c r="E35" s="91" t="s">
        <v>13</v>
      </c>
      <c r="F35" s="36">
        <v>1700</v>
      </c>
      <c r="G35" s="34">
        <v>540</v>
      </c>
      <c r="H35" s="50">
        <v>150</v>
      </c>
      <c r="I35" s="144">
        <f t="shared" si="2"/>
        <v>0.1377</v>
      </c>
      <c r="J35" s="344">
        <f>I36+I35</f>
        <v>2.2106250000000003</v>
      </c>
      <c r="K35" s="56">
        <v>24.85</v>
      </c>
      <c r="L35" s="299">
        <f>SUM(K35:K36)</f>
        <v>270.76</v>
      </c>
      <c r="N35" s="14"/>
    </row>
    <row r="36" spans="1:14" ht="13.5" thickBot="1">
      <c r="A36" s="349"/>
      <c r="B36" s="349"/>
      <c r="C36" s="173" t="s">
        <v>25</v>
      </c>
      <c r="D36" s="173">
        <v>1</v>
      </c>
      <c r="E36" s="121" t="s">
        <v>46</v>
      </c>
      <c r="F36" s="40">
        <v>1850</v>
      </c>
      <c r="G36" s="86">
        <v>830</v>
      </c>
      <c r="H36" s="39">
        <v>1350</v>
      </c>
      <c r="I36" s="146">
        <f t="shared" si="2"/>
        <v>2.072925</v>
      </c>
      <c r="J36" s="345"/>
      <c r="K36" s="57">
        <v>245.91</v>
      </c>
      <c r="L36" s="410"/>
      <c r="N36" s="14"/>
    </row>
    <row r="37" spans="1:14" ht="12.75">
      <c r="A37" s="7"/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N37" s="14"/>
    </row>
    <row r="38" spans="1:14" s="1" customFormat="1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9"/>
      <c r="N38" s="19"/>
    </row>
    <row r="39" spans="1:14" ht="13.5" thickBot="1">
      <c r="A39" s="363" t="s">
        <v>26</v>
      </c>
      <c r="B39" s="364"/>
      <c r="C39" s="364"/>
      <c r="D39" s="364"/>
      <c r="E39" s="364"/>
      <c r="F39" s="377"/>
      <c r="G39" s="377"/>
      <c r="H39" s="377"/>
      <c r="I39" s="377"/>
      <c r="J39" s="377"/>
      <c r="K39" s="377"/>
      <c r="L39" s="378"/>
      <c r="N39" s="14"/>
    </row>
    <row r="40" spans="1:14" ht="12.75">
      <c r="A40" s="313" t="s">
        <v>3</v>
      </c>
      <c r="B40" s="330" t="s">
        <v>22</v>
      </c>
      <c r="C40" s="313" t="s">
        <v>10</v>
      </c>
      <c r="D40" s="313" t="s">
        <v>23</v>
      </c>
      <c r="E40" s="311" t="s">
        <v>8</v>
      </c>
      <c r="F40" s="313" t="s">
        <v>4</v>
      </c>
      <c r="G40" s="314"/>
      <c r="H40" s="315"/>
      <c r="I40" s="572" t="s">
        <v>5</v>
      </c>
      <c r="J40" s="568" t="s">
        <v>75</v>
      </c>
      <c r="K40" s="574" t="s">
        <v>76</v>
      </c>
      <c r="L40" s="570" t="s">
        <v>77</v>
      </c>
      <c r="N40" s="14"/>
    </row>
    <row r="41" spans="1:14" ht="13.5" thickBot="1">
      <c r="A41" s="329"/>
      <c r="B41" s="338"/>
      <c r="C41" s="329"/>
      <c r="D41" s="329"/>
      <c r="E41" s="383"/>
      <c r="F41" s="128" t="s">
        <v>72</v>
      </c>
      <c r="G41" s="70" t="s">
        <v>70</v>
      </c>
      <c r="H41" s="129" t="s">
        <v>71</v>
      </c>
      <c r="I41" s="573"/>
      <c r="J41" s="310"/>
      <c r="K41" s="575"/>
      <c r="L41" s="571"/>
      <c r="N41" s="14"/>
    </row>
    <row r="42" spans="1:14" ht="12.75">
      <c r="A42" s="346" t="s">
        <v>66</v>
      </c>
      <c r="B42" s="392">
        <v>2</v>
      </c>
      <c r="C42" s="132" t="s">
        <v>11</v>
      </c>
      <c r="D42" s="132">
        <v>1</v>
      </c>
      <c r="E42" s="91" t="s">
        <v>13</v>
      </c>
      <c r="F42" s="36">
        <v>830</v>
      </c>
      <c r="G42" s="34">
        <v>540</v>
      </c>
      <c r="H42" s="50">
        <v>150</v>
      </c>
      <c r="I42" s="144">
        <f aca="true" t="shared" si="3" ref="I42:I49">F42*G42*H42/1000000000</f>
        <v>0.06723</v>
      </c>
      <c r="J42" s="344">
        <f>I43+I42</f>
        <v>1.131705</v>
      </c>
      <c r="K42" s="66">
        <v>19.41</v>
      </c>
      <c r="L42" s="299">
        <f>SUM(K42:K43)</f>
        <v>211.03</v>
      </c>
      <c r="N42" s="14"/>
    </row>
    <row r="43" spans="1:14" ht="13.5" thickBot="1">
      <c r="A43" s="348"/>
      <c r="B43" s="348"/>
      <c r="C43" s="155" t="s">
        <v>25</v>
      </c>
      <c r="D43" s="155">
        <v>1</v>
      </c>
      <c r="E43" s="126" t="s">
        <v>46</v>
      </c>
      <c r="F43" s="40">
        <v>950</v>
      </c>
      <c r="G43" s="86">
        <v>830</v>
      </c>
      <c r="H43" s="39">
        <v>1350</v>
      </c>
      <c r="I43" s="147">
        <f t="shared" si="3"/>
        <v>1.064475</v>
      </c>
      <c r="J43" s="343"/>
      <c r="K43" s="87">
        <v>191.62</v>
      </c>
      <c r="L43" s="301"/>
      <c r="N43" s="14"/>
    </row>
    <row r="44" spans="1:14" ht="12.75">
      <c r="A44" s="346" t="s">
        <v>27</v>
      </c>
      <c r="B44" s="346">
        <v>2</v>
      </c>
      <c r="C44" s="132" t="s">
        <v>11</v>
      </c>
      <c r="D44" s="132">
        <v>1</v>
      </c>
      <c r="E44" s="91" t="s">
        <v>13</v>
      </c>
      <c r="F44" s="36">
        <v>1100</v>
      </c>
      <c r="G44" s="34">
        <v>540</v>
      </c>
      <c r="H44" s="50">
        <v>150</v>
      </c>
      <c r="I44" s="144">
        <f t="shared" si="3"/>
        <v>0.0891</v>
      </c>
      <c r="J44" s="344">
        <f>I45+I44</f>
        <v>1.489725</v>
      </c>
      <c r="K44" s="56">
        <v>21.34</v>
      </c>
      <c r="L44" s="299">
        <f>SUM(K44:K45)</f>
        <v>252.62</v>
      </c>
      <c r="N44" s="21"/>
    </row>
    <row r="45" spans="1:14" ht="13.5" thickBot="1">
      <c r="A45" s="348"/>
      <c r="B45" s="348"/>
      <c r="C45" s="155" t="s">
        <v>25</v>
      </c>
      <c r="D45" s="155">
        <v>1</v>
      </c>
      <c r="E45" s="126" t="s">
        <v>46</v>
      </c>
      <c r="F45" s="40">
        <v>1250</v>
      </c>
      <c r="G45" s="86">
        <v>830</v>
      </c>
      <c r="H45" s="39">
        <v>1350</v>
      </c>
      <c r="I45" s="147">
        <f t="shared" si="3"/>
        <v>1.400625</v>
      </c>
      <c r="J45" s="343"/>
      <c r="K45" s="87">
        <v>231.28</v>
      </c>
      <c r="L45" s="301"/>
      <c r="M45" s="26"/>
      <c r="N45" s="26"/>
    </row>
    <row r="46" spans="1:14" ht="12.75">
      <c r="A46" s="346" t="s">
        <v>28</v>
      </c>
      <c r="B46" s="346">
        <v>2</v>
      </c>
      <c r="C46" s="132" t="s">
        <v>11</v>
      </c>
      <c r="D46" s="132">
        <v>1</v>
      </c>
      <c r="E46" s="91" t="s">
        <v>13</v>
      </c>
      <c r="F46" s="36">
        <v>1400</v>
      </c>
      <c r="G46" s="34">
        <v>540</v>
      </c>
      <c r="H46" s="50">
        <v>150</v>
      </c>
      <c r="I46" s="144">
        <f t="shared" si="3"/>
        <v>0.1134</v>
      </c>
      <c r="J46" s="344">
        <f>I47+I46</f>
        <v>1.850175</v>
      </c>
      <c r="K46" s="56">
        <v>23.09</v>
      </c>
      <c r="L46" s="299">
        <f>SUM(K46:K47)</f>
        <v>296.02</v>
      </c>
      <c r="N46" s="14"/>
    </row>
    <row r="47" spans="1:14" ht="13.5" thickBot="1">
      <c r="A47" s="348"/>
      <c r="B47" s="348"/>
      <c r="C47" s="155" t="s">
        <v>25</v>
      </c>
      <c r="D47" s="155">
        <v>1</v>
      </c>
      <c r="E47" s="126" t="s">
        <v>46</v>
      </c>
      <c r="F47" s="40">
        <v>1550</v>
      </c>
      <c r="G47" s="86">
        <v>830</v>
      </c>
      <c r="H47" s="39">
        <v>1350</v>
      </c>
      <c r="I47" s="147">
        <f t="shared" si="3"/>
        <v>1.736775</v>
      </c>
      <c r="J47" s="343"/>
      <c r="K47" s="87">
        <v>272.93</v>
      </c>
      <c r="L47" s="301"/>
      <c r="N47" s="14"/>
    </row>
    <row r="48" spans="1:14" ht="12.75">
      <c r="A48" s="346" t="s">
        <v>29</v>
      </c>
      <c r="B48" s="346">
        <v>2</v>
      </c>
      <c r="C48" s="132" t="s">
        <v>11</v>
      </c>
      <c r="D48" s="132">
        <v>1</v>
      </c>
      <c r="E48" s="91" t="s">
        <v>13</v>
      </c>
      <c r="F48" s="36">
        <v>1700</v>
      </c>
      <c r="G48" s="34">
        <v>540</v>
      </c>
      <c r="H48" s="50">
        <v>150</v>
      </c>
      <c r="I48" s="144">
        <f t="shared" si="3"/>
        <v>0.1377</v>
      </c>
      <c r="J48" s="344">
        <f>I49+I48</f>
        <v>2.2106250000000003</v>
      </c>
      <c r="K48" s="56">
        <v>24.85</v>
      </c>
      <c r="L48" s="299">
        <f>SUM(K48:K49)</f>
        <v>338.72</v>
      </c>
      <c r="N48" s="14"/>
    </row>
    <row r="49" spans="1:14" ht="13.5" thickBot="1">
      <c r="A49" s="349"/>
      <c r="B49" s="349"/>
      <c r="C49" s="173" t="s">
        <v>25</v>
      </c>
      <c r="D49" s="173">
        <v>1</v>
      </c>
      <c r="E49" s="121" t="s">
        <v>46</v>
      </c>
      <c r="F49" s="40">
        <v>1850</v>
      </c>
      <c r="G49" s="86">
        <v>830</v>
      </c>
      <c r="H49" s="39">
        <v>1350</v>
      </c>
      <c r="I49" s="146">
        <f t="shared" si="3"/>
        <v>2.072925</v>
      </c>
      <c r="J49" s="345"/>
      <c r="K49" s="57">
        <v>313.87</v>
      </c>
      <c r="L49" s="410"/>
      <c r="N49" s="14"/>
    </row>
    <row r="52" ht="13.5" thickBot="1"/>
    <row r="53" spans="1:15" ht="13.5" thickBot="1">
      <c r="A53" s="581" t="s">
        <v>151</v>
      </c>
      <c r="B53" s="582"/>
      <c r="C53" s="582"/>
      <c r="D53" s="582"/>
      <c r="E53" s="582"/>
      <c r="F53" s="582"/>
      <c r="G53" s="582"/>
      <c r="H53" s="582"/>
      <c r="I53" s="582"/>
      <c r="J53" s="582"/>
      <c r="K53" s="583"/>
      <c r="L53" s="18"/>
      <c r="M53" s="18"/>
      <c r="N53" s="18"/>
      <c r="O53" s="18"/>
    </row>
    <row r="54" spans="1:15" ht="12.75">
      <c r="A54" s="311" t="s">
        <v>3</v>
      </c>
      <c r="B54" s="407" t="s">
        <v>22</v>
      </c>
      <c r="C54" s="389" t="s">
        <v>10</v>
      </c>
      <c r="D54" s="576" t="s">
        <v>23</v>
      </c>
      <c r="E54" s="311" t="s">
        <v>8</v>
      </c>
      <c r="F54" s="313" t="s">
        <v>4</v>
      </c>
      <c r="G54" s="314"/>
      <c r="H54" s="315"/>
      <c r="I54" s="578" t="s">
        <v>87</v>
      </c>
      <c r="J54" s="402" t="s">
        <v>86</v>
      </c>
      <c r="K54" s="402" t="s">
        <v>261</v>
      </c>
      <c r="L54" s="17"/>
      <c r="M54" s="17"/>
      <c r="N54" s="17"/>
      <c r="O54" s="17"/>
    </row>
    <row r="55" spans="1:15" ht="29.25" customHeight="1" thickBot="1">
      <c r="A55" s="312"/>
      <c r="B55" s="408"/>
      <c r="C55" s="390"/>
      <c r="D55" s="577"/>
      <c r="E55" s="312"/>
      <c r="F55" s="128" t="s">
        <v>72</v>
      </c>
      <c r="G55" s="70" t="s">
        <v>70</v>
      </c>
      <c r="H55" s="129" t="s">
        <v>71</v>
      </c>
      <c r="I55" s="579"/>
      <c r="J55" s="403"/>
      <c r="K55" s="580"/>
      <c r="L55" s="13"/>
      <c r="M55" s="20"/>
      <c r="N55" s="13"/>
      <c r="O55" s="13"/>
    </row>
    <row r="56" spans="1:15" ht="13.5" thickBot="1">
      <c r="A56" s="12" t="s">
        <v>148</v>
      </c>
      <c r="B56" s="177">
        <v>1</v>
      </c>
      <c r="C56" s="247" t="s">
        <v>260</v>
      </c>
      <c r="D56" s="223">
        <v>1</v>
      </c>
      <c r="E56" s="175" t="s">
        <v>46</v>
      </c>
      <c r="F56" s="206">
        <f>610+32+3</f>
        <v>645</v>
      </c>
      <c r="G56" s="22">
        <f>560+32+3</f>
        <v>595</v>
      </c>
      <c r="H56" s="188">
        <f>100+50+32+16+2</f>
        <v>200</v>
      </c>
      <c r="I56" s="189">
        <f>F56*G56*H56/1000000000</f>
        <v>0.076755</v>
      </c>
      <c r="J56" s="189">
        <f>I56</f>
        <v>0.076755</v>
      </c>
      <c r="K56" s="78">
        <f>8.1+14</f>
        <v>22.1</v>
      </c>
      <c r="L56" s="7"/>
      <c r="M56" s="15"/>
      <c r="N56" s="7"/>
      <c r="O56" s="2"/>
    </row>
    <row r="57" spans="1:15" ht="13.5" thickBot="1">
      <c r="A57" s="203" t="s">
        <v>149</v>
      </c>
      <c r="B57" s="177">
        <v>1</v>
      </c>
      <c r="C57" s="247" t="s">
        <v>260</v>
      </c>
      <c r="D57" s="223">
        <v>1</v>
      </c>
      <c r="E57" s="175" t="s">
        <v>46</v>
      </c>
      <c r="F57" s="206">
        <f>910+32+3</f>
        <v>945</v>
      </c>
      <c r="G57" s="22">
        <f>560+32+3</f>
        <v>595</v>
      </c>
      <c r="H57" s="188">
        <f>100+50+32+16+2</f>
        <v>200</v>
      </c>
      <c r="I57" s="189">
        <f>F57*G57*H57/1000000000</f>
        <v>0.112455</v>
      </c>
      <c r="J57" s="189">
        <f>I57</f>
        <v>0.112455</v>
      </c>
      <c r="K57" s="78">
        <f>10.5+19</f>
        <v>29.5</v>
      </c>
      <c r="L57" s="7"/>
      <c r="M57" s="15"/>
      <c r="N57" s="7"/>
      <c r="O57" s="13"/>
    </row>
    <row r="58" spans="1:15" ht="13.5" thickBot="1">
      <c r="A58" s="203" t="s">
        <v>150</v>
      </c>
      <c r="B58" s="177">
        <v>1</v>
      </c>
      <c r="C58" s="247" t="s">
        <v>260</v>
      </c>
      <c r="D58" s="223">
        <v>1</v>
      </c>
      <c r="E58" s="175" t="s">
        <v>46</v>
      </c>
      <c r="F58" s="206">
        <f>610+32+3</f>
        <v>645</v>
      </c>
      <c r="G58" s="22">
        <f>560+32+3</f>
        <v>595</v>
      </c>
      <c r="H58" s="188">
        <f>100+100+32+16+2</f>
        <v>250</v>
      </c>
      <c r="I58" s="189">
        <f>F58*G58*H58/1000000000</f>
        <v>0.09594375</v>
      </c>
      <c r="J58" s="189">
        <f>I58</f>
        <v>0.09594375</v>
      </c>
      <c r="K58" s="78">
        <f>9+15</f>
        <v>24</v>
      </c>
      <c r="L58" s="7"/>
      <c r="M58" s="15"/>
      <c r="N58" s="7"/>
      <c r="O58" s="2"/>
    </row>
    <row r="59" spans="1:15" ht="13.5" thickBot="1">
      <c r="A59" s="203" t="s">
        <v>152</v>
      </c>
      <c r="B59" s="178">
        <v>1</v>
      </c>
      <c r="C59" s="248" t="s">
        <v>260</v>
      </c>
      <c r="D59" s="65">
        <v>1</v>
      </c>
      <c r="E59" s="175" t="s">
        <v>46</v>
      </c>
      <c r="F59" s="206">
        <f>910+32+3</f>
        <v>945</v>
      </c>
      <c r="G59" s="22">
        <f>560+32+3</f>
        <v>595</v>
      </c>
      <c r="H59" s="188">
        <f>100+100+32+16+2</f>
        <v>250</v>
      </c>
      <c r="I59" s="190">
        <f>F59*G59*H59/1000000000</f>
        <v>0.14056875</v>
      </c>
      <c r="J59" s="190">
        <f>I59</f>
        <v>0.14056875</v>
      </c>
      <c r="K59" s="45">
        <f>14+21</f>
        <v>35</v>
      </c>
      <c r="L59" s="7"/>
      <c r="M59" s="15"/>
      <c r="N59" s="7"/>
      <c r="O59" s="2"/>
    </row>
  </sheetData>
  <sheetProtection/>
  <mergeCells count="124">
    <mergeCell ref="K54:K55"/>
    <mergeCell ref="A53:K53"/>
    <mergeCell ref="J20:J21"/>
    <mergeCell ref="L20:L21"/>
    <mergeCell ref="M27:M28"/>
    <mergeCell ref="M14:M15"/>
    <mergeCell ref="B18:B19"/>
    <mergeCell ref="B48:B49"/>
    <mergeCell ref="A46:A47"/>
    <mergeCell ref="L27:L28"/>
    <mergeCell ref="N14:N15"/>
    <mergeCell ref="A16:A17"/>
    <mergeCell ref="B16:B17"/>
    <mergeCell ref="J16:J17"/>
    <mergeCell ref="L16:L17"/>
    <mergeCell ref="A22:A23"/>
    <mergeCell ref="B22:B23"/>
    <mergeCell ref="J22:J23"/>
    <mergeCell ref="L22:L23"/>
    <mergeCell ref="A18:A19"/>
    <mergeCell ref="N27:N28"/>
    <mergeCell ref="A44:A45"/>
    <mergeCell ref="B44:B45"/>
    <mergeCell ref="L31:L32"/>
    <mergeCell ref="A33:A34"/>
    <mergeCell ref="B33:B34"/>
    <mergeCell ref="J33:J34"/>
    <mergeCell ref="L44:L45"/>
    <mergeCell ref="L35:L36"/>
    <mergeCell ref="K27:K28"/>
    <mergeCell ref="M2:M3"/>
    <mergeCell ref="A54:A55"/>
    <mergeCell ref="B54:B55"/>
    <mergeCell ref="C54:C55"/>
    <mergeCell ref="D54:D55"/>
    <mergeCell ref="E54:E55"/>
    <mergeCell ref="F54:H54"/>
    <mergeCell ref="I54:I55"/>
    <mergeCell ref="J54:J55"/>
    <mergeCell ref="A48:A49"/>
    <mergeCell ref="K40:K41"/>
    <mergeCell ref="L40:L41"/>
    <mergeCell ref="B6:B7"/>
    <mergeCell ref="L42:L43"/>
    <mergeCell ref="A13:L13"/>
    <mergeCell ref="A14:A15"/>
    <mergeCell ref="B14:B15"/>
    <mergeCell ref="C14:C15"/>
    <mergeCell ref="A42:A43"/>
    <mergeCell ref="B40:B41"/>
    <mergeCell ref="I40:I41"/>
    <mergeCell ref="F40:H40"/>
    <mergeCell ref="C40:C41"/>
    <mergeCell ref="D40:D41"/>
    <mergeCell ref="A27:A28"/>
    <mergeCell ref="B27:B28"/>
    <mergeCell ref="C27:C28"/>
    <mergeCell ref="D27:D28"/>
    <mergeCell ref="E27:E28"/>
    <mergeCell ref="A29:A30"/>
    <mergeCell ref="A1:L1"/>
    <mergeCell ref="I2:I3"/>
    <mergeCell ref="E2:E3"/>
    <mergeCell ref="B2:B3"/>
    <mergeCell ref="J2:J3"/>
    <mergeCell ref="L4:L5"/>
    <mergeCell ref="F2:H2"/>
    <mergeCell ref="L2:L3"/>
    <mergeCell ref="A2:A3"/>
    <mergeCell ref="K2:K3"/>
    <mergeCell ref="C2:C3"/>
    <mergeCell ref="B8:B9"/>
    <mergeCell ref="E40:E41"/>
    <mergeCell ref="J40:J41"/>
    <mergeCell ref="J27:J28"/>
    <mergeCell ref="A31:A32"/>
    <mergeCell ref="B31:B32"/>
    <mergeCell ref="B29:B30"/>
    <mergeCell ref="D14:D15"/>
    <mergeCell ref="E14:E15"/>
    <mergeCell ref="F14:H14"/>
    <mergeCell ref="I14:I15"/>
    <mergeCell ref="J14:J15"/>
    <mergeCell ref="D2:D3"/>
    <mergeCell ref="F27:H27"/>
    <mergeCell ref="I27:I28"/>
    <mergeCell ref="B20:B21"/>
    <mergeCell ref="L33:L34"/>
    <mergeCell ref="J31:J32"/>
    <mergeCell ref="A35:A36"/>
    <mergeCell ref="B35:B36"/>
    <mergeCell ref="J35:J36"/>
    <mergeCell ref="L29:L30"/>
    <mergeCell ref="J29:J30"/>
    <mergeCell ref="N2:N3"/>
    <mergeCell ref="L46:L47"/>
    <mergeCell ref="J10:J11"/>
    <mergeCell ref="A6:A7"/>
    <mergeCell ref="B42:B43"/>
    <mergeCell ref="L6:L7"/>
    <mergeCell ref="J18:J19"/>
    <mergeCell ref="A26:L26"/>
    <mergeCell ref="A40:A41"/>
    <mergeCell ref="A8:A9"/>
    <mergeCell ref="L48:L49"/>
    <mergeCell ref="J46:J47"/>
    <mergeCell ref="J48:J49"/>
    <mergeCell ref="B46:B47"/>
    <mergeCell ref="J44:J45"/>
    <mergeCell ref="A4:A5"/>
    <mergeCell ref="B4:B5"/>
    <mergeCell ref="J42:J43"/>
    <mergeCell ref="J6:J7"/>
    <mergeCell ref="J8:J9"/>
    <mergeCell ref="L8:L9"/>
    <mergeCell ref="L10:L11"/>
    <mergeCell ref="A39:L39"/>
    <mergeCell ref="J4:J5"/>
    <mergeCell ref="A10:A11"/>
    <mergeCell ref="B10:B11"/>
    <mergeCell ref="L18:L19"/>
    <mergeCell ref="A20:A21"/>
    <mergeCell ref="K14:K15"/>
    <mergeCell ref="L14:L15"/>
  </mergeCells>
  <printOptions/>
  <pageMargins left="0.7" right="0.7" top="0.75" bottom="0.75" header="0.3" footer="0.3"/>
  <pageSetup fitToHeight="1" fitToWidth="1" horizontalDpi="600" verticalDpi="600" orientation="portrait" paperSize="9" scale="58" r:id="rId1"/>
  <ignoredErrors>
    <ignoredError sqref="L4 L6 L8 L10 L16 L18 L20 L22 L29 L31 L33 L35 L42 L44 L46 L48" formulaRange="1"/>
    <ignoredError sqref="F57:F5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15.50390625" style="0" customWidth="1"/>
    <col min="2" max="2" width="11.875" style="0" customWidth="1"/>
    <col min="3" max="3" width="23.875" style="0" customWidth="1"/>
    <col min="4" max="4" width="13.50390625" style="0" customWidth="1"/>
    <col min="5" max="5" width="15.875" style="0" customWidth="1"/>
    <col min="6" max="6" width="10.50390625" style="0" customWidth="1"/>
    <col min="7" max="7" width="12.00390625" style="0" customWidth="1"/>
    <col min="8" max="8" width="11.625" style="0" customWidth="1"/>
    <col min="9" max="9" width="11.00390625" style="0" customWidth="1"/>
    <col min="10" max="10" width="10.375" style="0" customWidth="1"/>
    <col min="13" max="13" width="8.00390625" style="0" customWidth="1"/>
    <col min="14" max="14" width="2.875" style="0" hidden="1" customWidth="1"/>
    <col min="15" max="15" width="0.12890625" style="0" customWidth="1"/>
    <col min="18" max="18" width="12.375" style="14" customWidth="1"/>
  </cols>
  <sheetData>
    <row r="1" spans="1:17" ht="13.5" thickBot="1">
      <c r="A1" s="444" t="s">
        <v>94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/>
    </row>
    <row r="2" spans="1:18" ht="12.75">
      <c r="A2" s="313" t="s">
        <v>3</v>
      </c>
      <c r="B2" s="313" t="s">
        <v>9</v>
      </c>
      <c r="C2" s="313" t="s">
        <v>10</v>
      </c>
      <c r="D2" s="313" t="s">
        <v>23</v>
      </c>
      <c r="E2" s="311" t="s">
        <v>8</v>
      </c>
      <c r="F2" s="313" t="s">
        <v>4</v>
      </c>
      <c r="G2" s="314"/>
      <c r="H2" s="314"/>
      <c r="I2" s="327" t="s">
        <v>87</v>
      </c>
      <c r="J2" s="327" t="s">
        <v>86</v>
      </c>
      <c r="K2" s="313" t="s">
        <v>7</v>
      </c>
      <c r="L2" s="314"/>
      <c r="M2" s="314"/>
      <c r="N2" s="314"/>
      <c r="O2" s="314"/>
      <c r="P2" s="313" t="s">
        <v>77</v>
      </c>
      <c r="Q2" s="315"/>
      <c r="R2" s="500"/>
    </row>
    <row r="3" spans="1:18" ht="26.25" customHeight="1" thickBot="1">
      <c r="A3" s="329"/>
      <c r="B3" s="329"/>
      <c r="C3" s="329"/>
      <c r="D3" s="329"/>
      <c r="E3" s="383"/>
      <c r="F3" s="137" t="s">
        <v>72</v>
      </c>
      <c r="G3" s="69" t="s">
        <v>70</v>
      </c>
      <c r="H3" s="170" t="s">
        <v>71</v>
      </c>
      <c r="I3" s="328"/>
      <c r="J3" s="328"/>
      <c r="K3" s="329"/>
      <c r="L3" s="335"/>
      <c r="M3" s="335"/>
      <c r="N3" s="335"/>
      <c r="O3" s="335"/>
      <c r="P3" s="329"/>
      <c r="Q3" s="336"/>
      <c r="R3" s="500"/>
    </row>
    <row r="4" spans="1:17" ht="12.75">
      <c r="A4" s="346" t="s">
        <v>128</v>
      </c>
      <c r="B4" s="346">
        <v>2</v>
      </c>
      <c r="C4" s="132" t="s">
        <v>11</v>
      </c>
      <c r="D4" s="132">
        <v>1</v>
      </c>
      <c r="E4" s="91" t="s">
        <v>13</v>
      </c>
      <c r="F4" s="36">
        <v>520</v>
      </c>
      <c r="G4" s="34">
        <v>510</v>
      </c>
      <c r="H4" s="50">
        <v>200</v>
      </c>
      <c r="I4" s="144">
        <f aca="true" t="shared" si="0" ref="I4:I17">F4*G4*H4/1000000000</f>
        <v>0.05304</v>
      </c>
      <c r="J4" s="344">
        <f>I4+I5</f>
        <v>0.29874</v>
      </c>
      <c r="K4" s="269">
        <v>4.53</v>
      </c>
      <c r="L4" s="270"/>
      <c r="M4" s="270"/>
      <c r="N4" s="270"/>
      <c r="O4" s="270"/>
      <c r="P4" s="269">
        <f>K4+K5</f>
        <v>29.53</v>
      </c>
      <c r="Q4" s="280"/>
    </row>
    <row r="5" spans="1:18" ht="13.5" thickBot="1">
      <c r="A5" s="348"/>
      <c r="B5" s="348"/>
      <c r="C5" s="155" t="s">
        <v>37</v>
      </c>
      <c r="D5" s="155">
        <v>1</v>
      </c>
      <c r="E5" s="104" t="s">
        <v>246</v>
      </c>
      <c r="F5" s="53">
        <f>510+30</f>
        <v>540</v>
      </c>
      <c r="G5" s="46">
        <f>620+30</f>
        <v>650</v>
      </c>
      <c r="H5" s="164">
        <f>680+20</f>
        <v>700</v>
      </c>
      <c r="I5" s="147">
        <f t="shared" si="0"/>
        <v>0.2457</v>
      </c>
      <c r="J5" s="343"/>
      <c r="K5" s="267">
        <v>25</v>
      </c>
      <c r="L5" s="268"/>
      <c r="M5" s="268"/>
      <c r="N5" s="268"/>
      <c r="O5" s="268"/>
      <c r="P5" s="267"/>
      <c r="Q5" s="282"/>
      <c r="R5" s="26"/>
    </row>
    <row r="6" spans="1:17" ht="12.75">
      <c r="A6" s="346" t="s">
        <v>129</v>
      </c>
      <c r="B6" s="346">
        <v>2</v>
      </c>
      <c r="C6" s="132" t="s">
        <v>11</v>
      </c>
      <c r="D6" s="132">
        <v>1</v>
      </c>
      <c r="E6" s="91" t="s">
        <v>13</v>
      </c>
      <c r="F6" s="150">
        <v>820</v>
      </c>
      <c r="G6" s="34">
        <v>510</v>
      </c>
      <c r="H6" s="50">
        <v>200</v>
      </c>
      <c r="I6" s="144">
        <f t="shared" si="0"/>
        <v>0.08364</v>
      </c>
      <c r="J6" s="344">
        <f>I6+I7</f>
        <v>0.46584</v>
      </c>
      <c r="K6" s="269">
        <v>5.4</v>
      </c>
      <c r="L6" s="270"/>
      <c r="M6" s="270"/>
      <c r="N6" s="270"/>
      <c r="O6" s="270"/>
      <c r="P6" s="269">
        <f>K6+K7</f>
        <v>38.809999999999995</v>
      </c>
      <c r="Q6" s="280"/>
    </row>
    <row r="7" spans="1:17" ht="13.5" thickBot="1">
      <c r="A7" s="348"/>
      <c r="B7" s="348"/>
      <c r="C7" s="155" t="s">
        <v>37</v>
      </c>
      <c r="D7" s="155">
        <v>1</v>
      </c>
      <c r="E7" s="104" t="s">
        <v>246</v>
      </c>
      <c r="F7" s="199">
        <f>810+30</f>
        <v>840</v>
      </c>
      <c r="G7" s="46">
        <f>620+30</f>
        <v>650</v>
      </c>
      <c r="H7" s="164">
        <f>680+20</f>
        <v>700</v>
      </c>
      <c r="I7" s="147">
        <f t="shared" si="0"/>
        <v>0.3822</v>
      </c>
      <c r="J7" s="343"/>
      <c r="K7" s="267">
        <v>33.41</v>
      </c>
      <c r="L7" s="268"/>
      <c r="M7" s="268"/>
      <c r="N7" s="268"/>
      <c r="O7" s="268"/>
      <c r="P7" s="267"/>
      <c r="Q7" s="282"/>
    </row>
    <row r="8" spans="1:17" ht="12.75">
      <c r="A8" s="346" t="s">
        <v>130</v>
      </c>
      <c r="B8" s="346">
        <v>2</v>
      </c>
      <c r="C8" s="132" t="s">
        <v>11</v>
      </c>
      <c r="D8" s="132">
        <v>1</v>
      </c>
      <c r="E8" s="91" t="s">
        <v>13</v>
      </c>
      <c r="F8" s="150">
        <v>1200</v>
      </c>
      <c r="G8" s="34">
        <v>510</v>
      </c>
      <c r="H8" s="50">
        <v>200</v>
      </c>
      <c r="I8" s="144">
        <f t="shared" si="0"/>
        <v>0.1224</v>
      </c>
      <c r="J8" s="344">
        <f>I8+I9</f>
        <v>0.6866</v>
      </c>
      <c r="K8" s="269">
        <v>7.29</v>
      </c>
      <c r="L8" s="270"/>
      <c r="M8" s="270"/>
      <c r="N8" s="270"/>
      <c r="O8" s="270"/>
      <c r="P8" s="269">
        <f>K8+K9</f>
        <v>47.29</v>
      </c>
      <c r="Q8" s="280"/>
    </row>
    <row r="9" spans="1:17" ht="13.5" thickBot="1">
      <c r="A9" s="348"/>
      <c r="B9" s="348"/>
      <c r="C9" s="155" t="s">
        <v>37</v>
      </c>
      <c r="D9" s="155">
        <v>1</v>
      </c>
      <c r="E9" s="104" t="s">
        <v>246</v>
      </c>
      <c r="F9" s="199">
        <f>1210+30</f>
        <v>1240</v>
      </c>
      <c r="G9" s="46">
        <f>620+30</f>
        <v>650</v>
      </c>
      <c r="H9" s="164">
        <f>680+20</f>
        <v>700</v>
      </c>
      <c r="I9" s="147">
        <f t="shared" si="0"/>
        <v>0.5642</v>
      </c>
      <c r="J9" s="343"/>
      <c r="K9" s="267">
        <v>40</v>
      </c>
      <c r="L9" s="268"/>
      <c r="M9" s="268"/>
      <c r="N9" s="268"/>
      <c r="O9" s="268"/>
      <c r="P9" s="267"/>
      <c r="Q9" s="282"/>
    </row>
    <row r="10" spans="1:17" ht="12.75">
      <c r="A10" s="346" t="s">
        <v>168</v>
      </c>
      <c r="B10" s="346">
        <v>2</v>
      </c>
      <c r="C10" s="132" t="s">
        <v>11</v>
      </c>
      <c r="D10" s="132">
        <v>1</v>
      </c>
      <c r="E10" s="91" t="s">
        <v>13</v>
      </c>
      <c r="F10" s="36">
        <v>1450</v>
      </c>
      <c r="G10" s="34">
        <v>510</v>
      </c>
      <c r="H10" s="50">
        <v>200</v>
      </c>
      <c r="I10" s="144">
        <f t="shared" si="0"/>
        <v>0.1479</v>
      </c>
      <c r="J10" s="344">
        <f>I10+I11</f>
        <v>0.8531500000000001</v>
      </c>
      <c r="K10" s="269">
        <v>8.16</v>
      </c>
      <c r="L10" s="270"/>
      <c r="M10" s="280"/>
      <c r="N10" s="72"/>
      <c r="O10" s="64"/>
      <c r="P10" s="269">
        <f>K10+K11</f>
        <v>63.81999999999999</v>
      </c>
      <c r="Q10" s="280"/>
    </row>
    <row r="11" spans="1:17" ht="13.5" thickBot="1">
      <c r="A11" s="348"/>
      <c r="B11" s="348"/>
      <c r="C11" s="155" t="s">
        <v>37</v>
      </c>
      <c r="D11" s="155">
        <v>1</v>
      </c>
      <c r="E11" s="104" t="s">
        <v>246</v>
      </c>
      <c r="F11" s="53">
        <f>1520+30</f>
        <v>1550</v>
      </c>
      <c r="G11" s="46">
        <f>620+30</f>
        <v>650</v>
      </c>
      <c r="H11" s="164">
        <f>680+20</f>
        <v>700</v>
      </c>
      <c r="I11" s="147">
        <f t="shared" si="0"/>
        <v>0.70525</v>
      </c>
      <c r="J11" s="343"/>
      <c r="K11" s="267">
        <v>55.66</v>
      </c>
      <c r="L11" s="268"/>
      <c r="M11" s="282"/>
      <c r="N11" s="194"/>
      <c r="O11" s="77"/>
      <c r="P11" s="267"/>
      <c r="Q11" s="282"/>
    </row>
    <row r="12" spans="1:17" ht="12.75">
      <c r="A12" s="346" t="s">
        <v>38</v>
      </c>
      <c r="B12" s="346">
        <v>2</v>
      </c>
      <c r="C12" s="132" t="s">
        <v>11</v>
      </c>
      <c r="D12" s="132">
        <v>1</v>
      </c>
      <c r="E12" s="91" t="s">
        <v>13</v>
      </c>
      <c r="F12" s="150">
        <v>750</v>
      </c>
      <c r="G12" s="34">
        <v>510</v>
      </c>
      <c r="H12" s="50">
        <v>200</v>
      </c>
      <c r="I12" s="144">
        <f t="shared" si="0"/>
        <v>0.0765</v>
      </c>
      <c r="J12" s="344">
        <f>I12+I13</f>
        <v>0.43042</v>
      </c>
      <c r="K12" s="269">
        <v>5.94</v>
      </c>
      <c r="L12" s="270"/>
      <c r="M12" s="270"/>
      <c r="N12" s="270"/>
      <c r="O12" s="270"/>
      <c r="P12" s="269">
        <f>K12+K13</f>
        <v>38.94</v>
      </c>
      <c r="Q12" s="280"/>
    </row>
    <row r="13" spans="1:17" ht="13.5" thickBot="1">
      <c r="A13" s="348"/>
      <c r="B13" s="348"/>
      <c r="C13" s="155" t="s">
        <v>37</v>
      </c>
      <c r="D13" s="155">
        <v>1</v>
      </c>
      <c r="E13" s="104" t="s">
        <v>246</v>
      </c>
      <c r="F13" s="199">
        <f>760+30</f>
        <v>790</v>
      </c>
      <c r="G13" s="46">
        <f>610+30</f>
        <v>640</v>
      </c>
      <c r="H13" s="164">
        <f>680+20</f>
        <v>700</v>
      </c>
      <c r="I13" s="147">
        <f t="shared" si="0"/>
        <v>0.35392</v>
      </c>
      <c r="J13" s="343"/>
      <c r="K13" s="267">
        <v>33</v>
      </c>
      <c r="L13" s="268"/>
      <c r="M13" s="268"/>
      <c r="N13" s="268"/>
      <c r="O13" s="268"/>
      <c r="P13" s="267"/>
      <c r="Q13" s="282"/>
    </row>
    <row r="14" spans="1:17" ht="12.75">
      <c r="A14" s="346" t="s">
        <v>39</v>
      </c>
      <c r="B14" s="346">
        <v>2</v>
      </c>
      <c r="C14" s="132" t="s">
        <v>11</v>
      </c>
      <c r="D14" s="132">
        <v>1</v>
      </c>
      <c r="E14" s="91" t="s">
        <v>13</v>
      </c>
      <c r="F14" s="150">
        <v>1200</v>
      </c>
      <c r="G14" s="34">
        <v>510</v>
      </c>
      <c r="H14" s="50">
        <v>200</v>
      </c>
      <c r="I14" s="144">
        <f t="shared" si="0"/>
        <v>0.1224</v>
      </c>
      <c r="J14" s="344">
        <f>I14+I15</f>
        <v>0.8168</v>
      </c>
      <c r="K14" s="269">
        <v>7.29</v>
      </c>
      <c r="L14" s="270"/>
      <c r="M14" s="270"/>
      <c r="N14" s="270"/>
      <c r="O14" s="270"/>
      <c r="P14" s="269">
        <f>K14+K15</f>
        <v>57.23</v>
      </c>
      <c r="Q14" s="280"/>
    </row>
    <row r="15" spans="1:17" ht="13.5" thickBot="1">
      <c r="A15" s="348"/>
      <c r="B15" s="348"/>
      <c r="C15" s="155" t="s">
        <v>37</v>
      </c>
      <c r="D15" s="155">
        <v>1</v>
      </c>
      <c r="E15" s="104" t="s">
        <v>246</v>
      </c>
      <c r="F15" s="199">
        <f>1210+30</f>
        <v>1240</v>
      </c>
      <c r="G15" s="46">
        <f>770+30</f>
        <v>800</v>
      </c>
      <c r="H15" s="164">
        <f>680+20</f>
        <v>700</v>
      </c>
      <c r="I15" s="147">
        <f t="shared" si="0"/>
        <v>0.6944</v>
      </c>
      <c r="J15" s="343"/>
      <c r="K15" s="267">
        <v>49.94</v>
      </c>
      <c r="L15" s="268"/>
      <c r="M15" s="268"/>
      <c r="N15" s="268"/>
      <c r="O15" s="268"/>
      <c r="P15" s="267"/>
      <c r="Q15" s="282"/>
    </row>
    <row r="16" spans="1:17" ht="12.75">
      <c r="A16" s="346" t="s">
        <v>169</v>
      </c>
      <c r="B16" s="346">
        <v>2</v>
      </c>
      <c r="C16" s="132" t="s">
        <v>11</v>
      </c>
      <c r="D16" s="132">
        <v>1</v>
      </c>
      <c r="E16" s="91" t="s">
        <v>13</v>
      </c>
      <c r="F16" s="150">
        <v>1450</v>
      </c>
      <c r="G16" s="34">
        <v>510</v>
      </c>
      <c r="H16" s="50">
        <v>200</v>
      </c>
      <c r="I16" s="144">
        <f>F16*G16*H16/1000000000</f>
        <v>0.1479</v>
      </c>
      <c r="J16" s="344">
        <f>I16+I17</f>
        <v>0.8531500000000001</v>
      </c>
      <c r="K16" s="269">
        <v>8.16</v>
      </c>
      <c r="L16" s="270"/>
      <c r="M16" s="280"/>
      <c r="N16" s="72"/>
      <c r="O16" s="64"/>
      <c r="P16" s="269">
        <f>K16+K17</f>
        <v>61.03</v>
      </c>
      <c r="Q16" s="280"/>
    </row>
    <row r="17" spans="1:17" ht="13.5" thickBot="1">
      <c r="A17" s="349"/>
      <c r="B17" s="349"/>
      <c r="C17" s="173" t="s">
        <v>37</v>
      </c>
      <c r="D17" s="173">
        <v>1</v>
      </c>
      <c r="E17" s="93" t="s">
        <v>246</v>
      </c>
      <c r="F17" s="171">
        <f>1520+30</f>
        <v>1550</v>
      </c>
      <c r="G17" s="29">
        <f>620+30</f>
        <v>650</v>
      </c>
      <c r="H17" s="39">
        <f>680+20</f>
        <v>700</v>
      </c>
      <c r="I17" s="146">
        <f t="shared" si="0"/>
        <v>0.70525</v>
      </c>
      <c r="J17" s="345"/>
      <c r="K17" s="273">
        <v>52.87</v>
      </c>
      <c r="L17" s="274"/>
      <c r="M17" s="283"/>
      <c r="N17" s="72"/>
      <c r="O17" s="64"/>
      <c r="P17" s="273"/>
      <c r="Q17" s="283"/>
    </row>
    <row r="18" ht="13.5" thickBot="1"/>
    <row r="19" spans="1:17" ht="13.5" thickBot="1">
      <c r="A19" s="316" t="s">
        <v>186</v>
      </c>
      <c r="B19" s="317"/>
      <c r="C19" s="317"/>
      <c r="D19" s="317"/>
      <c r="E19" s="317"/>
      <c r="F19" s="318"/>
      <c r="G19" s="318"/>
      <c r="H19" s="318"/>
      <c r="I19" s="317"/>
      <c r="J19" s="317"/>
      <c r="K19" s="317"/>
      <c r="L19" s="317"/>
      <c r="M19" s="317"/>
      <c r="N19" s="317"/>
      <c r="O19" s="317"/>
      <c r="P19" s="317"/>
      <c r="Q19" s="451"/>
    </row>
    <row r="20" spans="1:18" ht="12.75">
      <c r="A20" s="313" t="s">
        <v>3</v>
      </c>
      <c r="B20" s="313" t="s">
        <v>9</v>
      </c>
      <c r="C20" s="313" t="s">
        <v>10</v>
      </c>
      <c r="D20" s="313" t="s">
        <v>23</v>
      </c>
      <c r="E20" s="311" t="s">
        <v>8</v>
      </c>
      <c r="F20" s="313" t="s">
        <v>4</v>
      </c>
      <c r="G20" s="314"/>
      <c r="H20" s="314"/>
      <c r="I20" s="327" t="s">
        <v>87</v>
      </c>
      <c r="J20" s="327" t="s">
        <v>86</v>
      </c>
      <c r="K20" s="313" t="s">
        <v>7</v>
      </c>
      <c r="L20" s="314"/>
      <c r="M20" s="314"/>
      <c r="N20" s="314"/>
      <c r="O20" s="314"/>
      <c r="P20" s="313" t="s">
        <v>77</v>
      </c>
      <c r="Q20" s="315"/>
      <c r="R20" s="500"/>
    </row>
    <row r="21" spans="1:18" ht="26.25" customHeight="1" thickBot="1">
      <c r="A21" s="329"/>
      <c r="B21" s="329"/>
      <c r="C21" s="329"/>
      <c r="D21" s="329"/>
      <c r="E21" s="383"/>
      <c r="F21" s="128" t="s">
        <v>72</v>
      </c>
      <c r="G21" s="70" t="s">
        <v>70</v>
      </c>
      <c r="H21" s="130" t="s">
        <v>71</v>
      </c>
      <c r="I21" s="328"/>
      <c r="J21" s="328"/>
      <c r="K21" s="329"/>
      <c r="L21" s="335"/>
      <c r="M21" s="335"/>
      <c r="N21" s="335"/>
      <c r="O21" s="335"/>
      <c r="P21" s="329"/>
      <c r="Q21" s="336"/>
      <c r="R21" s="500"/>
    </row>
    <row r="22" spans="1:17" ht="13.5" thickBot="1">
      <c r="A22" s="346" t="s">
        <v>128</v>
      </c>
      <c r="B22" s="346">
        <v>2</v>
      </c>
      <c r="C22" s="132" t="s">
        <v>11</v>
      </c>
      <c r="D22" s="132">
        <v>1</v>
      </c>
      <c r="E22" s="91" t="s">
        <v>13</v>
      </c>
      <c r="F22" s="36">
        <v>520</v>
      </c>
      <c r="G22" s="34">
        <v>510</v>
      </c>
      <c r="H22" s="50">
        <v>200</v>
      </c>
      <c r="I22" s="144">
        <f aca="true" t="shared" si="1" ref="I22:I27">F22*G22*H22/1000000000</f>
        <v>0.05304</v>
      </c>
      <c r="J22" s="344">
        <f>I22+I23</f>
        <v>0.314015</v>
      </c>
      <c r="K22" s="269">
        <v>4.53</v>
      </c>
      <c r="L22" s="270"/>
      <c r="M22" s="270"/>
      <c r="N22" s="270"/>
      <c r="O22" s="270"/>
      <c r="P22" s="269">
        <f>K22+K23</f>
        <v>44.53</v>
      </c>
      <c r="Q22" s="280"/>
    </row>
    <row r="23" spans="1:17" ht="13.5" thickBot="1">
      <c r="A23" s="348"/>
      <c r="B23" s="348"/>
      <c r="C23" s="155" t="s">
        <v>37</v>
      </c>
      <c r="D23" s="155">
        <v>1</v>
      </c>
      <c r="E23" s="91" t="s">
        <v>46</v>
      </c>
      <c r="F23" s="52">
        <v>550</v>
      </c>
      <c r="G23" s="29">
        <v>650</v>
      </c>
      <c r="H23" s="39">
        <v>730</v>
      </c>
      <c r="I23" s="147">
        <f t="shared" si="1"/>
        <v>0.260975</v>
      </c>
      <c r="J23" s="343"/>
      <c r="K23" s="267">
        <v>40</v>
      </c>
      <c r="L23" s="268"/>
      <c r="M23" s="268"/>
      <c r="N23" s="268"/>
      <c r="O23" s="268"/>
      <c r="P23" s="267"/>
      <c r="Q23" s="282"/>
    </row>
    <row r="24" spans="1:17" ht="13.5" thickBot="1">
      <c r="A24" s="346" t="s">
        <v>129</v>
      </c>
      <c r="B24" s="346">
        <v>2</v>
      </c>
      <c r="C24" s="132" t="s">
        <v>11</v>
      </c>
      <c r="D24" s="132">
        <v>1</v>
      </c>
      <c r="E24" s="91" t="s">
        <v>13</v>
      </c>
      <c r="F24" s="36">
        <v>820</v>
      </c>
      <c r="G24" s="34">
        <v>510</v>
      </c>
      <c r="H24" s="50">
        <v>200</v>
      </c>
      <c r="I24" s="144">
        <f t="shared" si="1"/>
        <v>0.08364</v>
      </c>
      <c r="J24" s="344">
        <f>I24+I25</f>
        <v>0.486965</v>
      </c>
      <c r="K24" s="269">
        <v>5.4</v>
      </c>
      <c r="L24" s="270"/>
      <c r="M24" s="270"/>
      <c r="N24" s="270"/>
      <c r="O24" s="270"/>
      <c r="P24" s="269">
        <f>K24+K25</f>
        <v>59.4</v>
      </c>
      <c r="Q24" s="280"/>
    </row>
    <row r="25" spans="1:17" ht="13.5" thickBot="1">
      <c r="A25" s="348"/>
      <c r="B25" s="348"/>
      <c r="C25" s="155" t="s">
        <v>37</v>
      </c>
      <c r="D25" s="155">
        <v>1</v>
      </c>
      <c r="E25" s="91" t="s">
        <v>46</v>
      </c>
      <c r="F25" s="52">
        <v>850</v>
      </c>
      <c r="G25" s="29">
        <v>650</v>
      </c>
      <c r="H25" s="39">
        <v>730</v>
      </c>
      <c r="I25" s="147">
        <f t="shared" si="1"/>
        <v>0.403325</v>
      </c>
      <c r="J25" s="343"/>
      <c r="K25" s="267">
        <v>54</v>
      </c>
      <c r="L25" s="268"/>
      <c r="M25" s="268"/>
      <c r="N25" s="268"/>
      <c r="O25" s="268"/>
      <c r="P25" s="267"/>
      <c r="Q25" s="282"/>
    </row>
    <row r="26" spans="1:17" ht="13.5" thickBot="1">
      <c r="A26" s="386" t="s">
        <v>130</v>
      </c>
      <c r="B26" s="584">
        <v>2</v>
      </c>
      <c r="C26" s="152" t="s">
        <v>11</v>
      </c>
      <c r="D26" s="152">
        <v>1</v>
      </c>
      <c r="E26" s="152" t="s">
        <v>13</v>
      </c>
      <c r="F26" s="36">
        <v>1200</v>
      </c>
      <c r="G26" s="34">
        <v>510</v>
      </c>
      <c r="H26" s="50">
        <v>200</v>
      </c>
      <c r="I26" s="144">
        <f t="shared" si="1"/>
        <v>0.1224</v>
      </c>
      <c r="J26" s="344">
        <f>I26+I27</f>
        <v>0.715525</v>
      </c>
      <c r="K26" s="269">
        <v>7.29</v>
      </c>
      <c r="L26" s="270"/>
      <c r="M26" s="270"/>
      <c r="N26" s="270"/>
      <c r="O26" s="270"/>
      <c r="P26" s="269">
        <f>K26+K27</f>
        <v>77.29</v>
      </c>
      <c r="Q26" s="280"/>
    </row>
    <row r="27" spans="1:17" ht="13.5" thickBot="1">
      <c r="A27" s="388"/>
      <c r="B27" s="585"/>
      <c r="C27" s="174" t="s">
        <v>37</v>
      </c>
      <c r="D27" s="174">
        <v>1</v>
      </c>
      <c r="E27" s="175" t="s">
        <v>46</v>
      </c>
      <c r="F27" s="52">
        <v>1250</v>
      </c>
      <c r="G27" s="29">
        <v>650</v>
      </c>
      <c r="H27" s="39">
        <v>730</v>
      </c>
      <c r="I27" s="146">
        <f t="shared" si="1"/>
        <v>0.593125</v>
      </c>
      <c r="J27" s="345"/>
      <c r="K27" s="273">
        <v>70</v>
      </c>
      <c r="L27" s="274"/>
      <c r="M27" s="274"/>
      <c r="N27" s="274"/>
      <c r="O27" s="274"/>
      <c r="P27" s="273"/>
      <c r="Q27" s="283"/>
    </row>
  </sheetData>
  <sheetProtection/>
  <mergeCells count="84">
    <mergeCell ref="J4:J5"/>
    <mergeCell ref="D2:D3"/>
    <mergeCell ref="R2:R3"/>
    <mergeCell ref="A8:A9"/>
    <mergeCell ref="B8:B9"/>
    <mergeCell ref="A6:A7"/>
    <mergeCell ref="K7:O7"/>
    <mergeCell ref="K6:O6"/>
    <mergeCell ref="B2:B3"/>
    <mergeCell ref="C2:C3"/>
    <mergeCell ref="J6:J7"/>
    <mergeCell ref="J8:J9"/>
    <mergeCell ref="J12:J13"/>
    <mergeCell ref="B12:B13"/>
    <mergeCell ref="B6:B7"/>
    <mergeCell ref="A10:A11"/>
    <mergeCell ref="B10:B11"/>
    <mergeCell ref="J10:J11"/>
    <mergeCell ref="A1:Q1"/>
    <mergeCell ref="P2:Q3"/>
    <mergeCell ref="P4:Q5"/>
    <mergeCell ref="P6:Q7"/>
    <mergeCell ref="F2:H2"/>
    <mergeCell ref="E2:E3"/>
    <mergeCell ref="A4:A5"/>
    <mergeCell ref="B4:B5"/>
    <mergeCell ref="I2:I3"/>
    <mergeCell ref="A2:A3"/>
    <mergeCell ref="K2:O3"/>
    <mergeCell ref="K4:O4"/>
    <mergeCell ref="K5:O5"/>
    <mergeCell ref="J2:J3"/>
    <mergeCell ref="P14:Q15"/>
    <mergeCell ref="J14:J15"/>
    <mergeCell ref="K13:O13"/>
    <mergeCell ref="K12:O12"/>
    <mergeCell ref="P8:Q9"/>
    <mergeCell ref="K8:O8"/>
    <mergeCell ref="K9:O9"/>
    <mergeCell ref="K15:O15"/>
    <mergeCell ref="P12:Q13"/>
    <mergeCell ref="P10:Q11"/>
    <mergeCell ref="K10:M10"/>
    <mergeCell ref="K11:M11"/>
    <mergeCell ref="K14:O14"/>
    <mergeCell ref="A16:A17"/>
    <mergeCell ref="B16:B17"/>
    <mergeCell ref="J16:J17"/>
    <mergeCell ref="P16:Q17"/>
    <mergeCell ref="K16:M16"/>
    <mergeCell ref="K17:M17"/>
    <mergeCell ref="A14:A15"/>
    <mergeCell ref="B14:B15"/>
    <mergeCell ref="A12:A13"/>
    <mergeCell ref="A19:Q19"/>
    <mergeCell ref="A20:A21"/>
    <mergeCell ref="B20:B21"/>
    <mergeCell ref="C20:C21"/>
    <mergeCell ref="D20:D21"/>
    <mergeCell ref="E20:E21"/>
    <mergeCell ref="F20:H20"/>
    <mergeCell ref="I20:I21"/>
    <mergeCell ref="J20:J21"/>
    <mergeCell ref="K20:O21"/>
    <mergeCell ref="P20:Q21"/>
    <mergeCell ref="R20:R21"/>
    <mergeCell ref="A22:A23"/>
    <mergeCell ref="B22:B23"/>
    <mergeCell ref="J22:J23"/>
    <mergeCell ref="K22:O22"/>
    <mergeCell ref="P22:Q23"/>
    <mergeCell ref="K23:O23"/>
    <mergeCell ref="A24:A25"/>
    <mergeCell ref="B24:B25"/>
    <mergeCell ref="J24:J25"/>
    <mergeCell ref="K24:O24"/>
    <mergeCell ref="P24:Q25"/>
    <mergeCell ref="K25:O25"/>
    <mergeCell ref="A26:A27"/>
    <mergeCell ref="B26:B27"/>
    <mergeCell ref="J26:J27"/>
    <mergeCell ref="K26:O26"/>
    <mergeCell ref="P26:Q27"/>
    <mergeCell ref="K27:O27"/>
  </mergeCells>
  <printOptions/>
  <pageMargins left="0.7" right="0.7" top="0.75" bottom="0.75" header="0.3" footer="0.3"/>
  <pageSetup fitToHeight="1" fitToWidth="1" horizontalDpi="600" verticalDpi="600" orientation="landscape" paperSize="9" scale="7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7" sqref="A7:A8"/>
    </sheetView>
  </sheetViews>
  <sheetFormatPr defaultColWidth="9.00390625" defaultRowHeight="12.75"/>
  <cols>
    <col min="1" max="1" width="17.625" style="0" customWidth="1"/>
    <col min="2" max="2" width="25.875" style="0" customWidth="1"/>
    <col min="3" max="3" width="5.125" style="0" customWidth="1"/>
    <col min="4" max="4" width="11.00390625" style="0" customWidth="1"/>
    <col min="7" max="7" width="11.50390625" style="0" customWidth="1"/>
    <col min="13" max="13" width="7.375" style="0" bestFit="1" customWidth="1"/>
    <col min="14" max="14" width="12.00390625" style="0" bestFit="1" customWidth="1"/>
    <col min="15" max="15" width="34.125" style="0" customWidth="1"/>
  </cols>
  <sheetData>
    <row r="1" spans="1:9" ht="21" customHeight="1" thickBot="1">
      <c r="A1" s="615" t="s">
        <v>257</v>
      </c>
      <c r="B1" s="616"/>
      <c r="C1" s="616"/>
      <c r="D1" s="616"/>
      <c r="E1" s="616"/>
      <c r="F1" s="616"/>
      <c r="G1" s="616"/>
      <c r="H1" s="616"/>
      <c r="I1" s="617"/>
    </row>
    <row r="2" spans="1:9" ht="12.75">
      <c r="A2" s="591" t="s">
        <v>104</v>
      </c>
      <c r="B2" s="593" t="s">
        <v>105</v>
      </c>
      <c r="C2" s="591" t="s">
        <v>106</v>
      </c>
      <c r="D2" s="595" t="s">
        <v>8</v>
      </c>
      <c r="E2" s="597" t="s">
        <v>107</v>
      </c>
      <c r="F2" s="586" t="s">
        <v>111</v>
      </c>
      <c r="G2" s="587"/>
      <c r="H2" s="588" t="s">
        <v>109</v>
      </c>
      <c r="I2" s="588" t="s">
        <v>110</v>
      </c>
    </row>
    <row r="3" spans="1:9" ht="13.5" thickBot="1">
      <c r="A3" s="592"/>
      <c r="B3" s="594"/>
      <c r="C3" s="592"/>
      <c r="D3" s="596"/>
      <c r="E3" s="598"/>
      <c r="F3" s="586"/>
      <c r="G3" s="587"/>
      <c r="H3" s="588"/>
      <c r="I3" s="588"/>
    </row>
    <row r="4" spans="1:9" ht="24" thickBot="1">
      <c r="A4" s="235" t="s">
        <v>265</v>
      </c>
      <c r="B4" s="236" t="s">
        <v>222</v>
      </c>
      <c r="C4" s="237" t="s">
        <v>102</v>
      </c>
      <c r="D4" s="236" t="s">
        <v>223</v>
      </c>
      <c r="E4" s="236">
        <v>1</v>
      </c>
      <c r="F4" s="589" t="s">
        <v>78</v>
      </c>
      <c r="G4" s="590"/>
      <c r="H4" s="239">
        <v>5.2</v>
      </c>
      <c r="I4" s="240">
        <f aca="true" t="shared" si="0" ref="I4:I9">0.6*0.25*0.61</f>
        <v>0.0915</v>
      </c>
    </row>
    <row r="5" spans="1:9" ht="24" thickBot="1">
      <c r="A5" s="235" t="s">
        <v>266</v>
      </c>
      <c r="B5" s="236" t="s">
        <v>222</v>
      </c>
      <c r="C5" s="237" t="s">
        <v>102</v>
      </c>
      <c r="D5" s="236" t="s">
        <v>223</v>
      </c>
      <c r="E5" s="236">
        <v>1</v>
      </c>
      <c r="F5" s="589" t="s">
        <v>78</v>
      </c>
      <c r="G5" s="590"/>
      <c r="H5" s="239">
        <v>4.9</v>
      </c>
      <c r="I5" s="240">
        <f t="shared" si="0"/>
        <v>0.0915</v>
      </c>
    </row>
    <row r="6" spans="1:9" ht="22.5" customHeight="1" thickBot="1">
      <c r="A6" s="235" t="s">
        <v>268</v>
      </c>
      <c r="B6" s="236" t="s">
        <v>222</v>
      </c>
      <c r="C6" s="237" t="s">
        <v>102</v>
      </c>
      <c r="D6" s="236" t="s">
        <v>223</v>
      </c>
      <c r="E6" s="236">
        <v>1</v>
      </c>
      <c r="F6" s="589" t="s">
        <v>78</v>
      </c>
      <c r="G6" s="590"/>
      <c r="H6" s="239">
        <v>8.4</v>
      </c>
      <c r="I6" s="242">
        <f t="shared" si="0"/>
        <v>0.0915</v>
      </c>
    </row>
    <row r="7" spans="1:9" ht="27" customHeight="1" thickBot="1">
      <c r="A7" s="601" t="s">
        <v>267</v>
      </c>
      <c r="B7" s="603" t="s">
        <v>224</v>
      </c>
      <c r="C7" s="603" t="s">
        <v>102</v>
      </c>
      <c r="D7" s="238" t="s">
        <v>223</v>
      </c>
      <c r="E7" s="605">
        <v>2</v>
      </c>
      <c r="F7" s="607" t="s">
        <v>225</v>
      </c>
      <c r="G7" s="608"/>
      <c r="H7" s="241">
        <v>2.7</v>
      </c>
      <c r="I7" s="243">
        <f t="shared" si="0"/>
        <v>0.0915</v>
      </c>
    </row>
    <row r="8" spans="1:9" ht="32.25" customHeight="1" thickBot="1">
      <c r="A8" s="602"/>
      <c r="B8" s="604"/>
      <c r="C8" s="580"/>
      <c r="D8" s="228" t="s">
        <v>250</v>
      </c>
      <c r="E8" s="606"/>
      <c r="F8" s="599" t="s">
        <v>251</v>
      </c>
      <c r="G8" s="600"/>
      <c r="H8" s="241">
        <v>3.4</v>
      </c>
      <c r="I8" s="245">
        <f>0.6*0.25*0.5</f>
        <v>0.075</v>
      </c>
    </row>
    <row r="9" spans="1:9" ht="29.25" customHeight="1" thickBot="1">
      <c r="A9" s="601" t="s">
        <v>267</v>
      </c>
      <c r="B9" s="618" t="s">
        <v>252</v>
      </c>
      <c r="C9" s="603" t="s">
        <v>102</v>
      </c>
      <c r="D9" s="238" t="s">
        <v>223</v>
      </c>
      <c r="E9" s="605">
        <v>2</v>
      </c>
      <c r="F9" s="607" t="s">
        <v>225</v>
      </c>
      <c r="G9" s="608"/>
      <c r="H9" s="241">
        <v>5.1</v>
      </c>
      <c r="I9" s="243">
        <f t="shared" si="0"/>
        <v>0.0915</v>
      </c>
    </row>
    <row r="10" spans="1:9" ht="36" customHeight="1" thickBot="1">
      <c r="A10" s="602"/>
      <c r="B10" s="580"/>
      <c r="C10" s="580"/>
      <c r="D10" s="228" t="s">
        <v>250</v>
      </c>
      <c r="E10" s="606"/>
      <c r="F10" s="599" t="s">
        <v>253</v>
      </c>
      <c r="G10" s="600"/>
      <c r="H10" s="241">
        <v>6.8</v>
      </c>
      <c r="I10" s="244">
        <f>0.6*0.3*0.5</f>
        <v>0.09</v>
      </c>
    </row>
    <row r="11" spans="1:9" ht="17.25" customHeight="1" thickBot="1">
      <c r="A11" s="89"/>
      <c r="B11" s="90"/>
      <c r="C11" s="90"/>
      <c r="D11" s="7"/>
      <c r="E11" s="7"/>
      <c r="F11" s="232"/>
      <c r="G11" s="232"/>
      <c r="H11" s="233"/>
      <c r="I11" s="234"/>
    </row>
    <row r="12" spans="1:9" ht="21" customHeight="1" thickBot="1">
      <c r="A12" s="615" t="s">
        <v>259</v>
      </c>
      <c r="B12" s="616"/>
      <c r="C12" s="616"/>
      <c r="D12" s="616"/>
      <c r="E12" s="616"/>
      <c r="F12" s="616"/>
      <c r="G12" s="616"/>
      <c r="H12" s="616"/>
      <c r="I12" s="617"/>
    </row>
    <row r="13" spans="1:9" ht="13.5" thickBot="1">
      <c r="A13" s="89"/>
      <c r="B13" s="231"/>
      <c r="C13" s="90"/>
      <c r="D13" s="7"/>
      <c r="E13" s="7"/>
      <c r="F13" s="232"/>
      <c r="G13" s="232"/>
      <c r="H13" s="233"/>
      <c r="I13" s="234"/>
    </row>
    <row r="14" spans="1:9" ht="47.25" customHeight="1" thickBot="1">
      <c r="A14" s="235" t="s">
        <v>254</v>
      </c>
      <c r="B14" s="236"/>
      <c r="C14" s="237" t="s">
        <v>102</v>
      </c>
      <c r="D14" s="237" t="s">
        <v>258</v>
      </c>
      <c r="E14" s="236"/>
      <c r="F14" s="589"/>
      <c r="G14" s="590"/>
      <c r="H14" s="239">
        <v>1.6</v>
      </c>
      <c r="I14" s="240"/>
    </row>
    <row r="15" ht="13.5" thickBot="1"/>
    <row r="16" spans="1:9" ht="14.25" thickBot="1">
      <c r="A16" s="609" t="s">
        <v>255</v>
      </c>
      <c r="B16" s="610"/>
      <c r="C16" s="610"/>
      <c r="D16" s="610"/>
      <c r="E16" s="610"/>
      <c r="F16" s="610"/>
      <c r="G16" s="610"/>
      <c r="H16" s="610"/>
      <c r="I16" s="611"/>
    </row>
    <row r="17" spans="1:9" ht="14.25" thickBot="1">
      <c r="A17" s="246"/>
      <c r="B17" s="246"/>
      <c r="C17" s="246"/>
      <c r="D17" s="246"/>
      <c r="E17" s="246"/>
      <c r="F17" s="246"/>
      <c r="G17" s="246"/>
      <c r="H17" s="246"/>
      <c r="I17" s="246"/>
    </row>
    <row r="18" spans="1:9" ht="15.75" thickBot="1">
      <c r="A18" s="612" t="s">
        <v>256</v>
      </c>
      <c r="B18" s="613"/>
      <c r="C18" s="613"/>
      <c r="D18" s="613"/>
      <c r="E18" s="613"/>
      <c r="F18" s="613"/>
      <c r="G18" s="613"/>
      <c r="H18" s="613"/>
      <c r="I18" s="614"/>
    </row>
  </sheetData>
  <sheetProtection/>
  <mergeCells count="28">
    <mergeCell ref="F14:G14"/>
    <mergeCell ref="A16:I16"/>
    <mergeCell ref="A18:I18"/>
    <mergeCell ref="A1:I1"/>
    <mergeCell ref="A12:I12"/>
    <mergeCell ref="A9:A10"/>
    <mergeCell ref="B9:B10"/>
    <mergeCell ref="C9:C10"/>
    <mergeCell ref="E9:E10"/>
    <mergeCell ref="F9:G9"/>
    <mergeCell ref="F10:G10"/>
    <mergeCell ref="F6:G6"/>
    <mergeCell ref="A7:A8"/>
    <mergeCell ref="B7:B8"/>
    <mergeCell ref="C7:C8"/>
    <mergeCell ref="E7:E8"/>
    <mergeCell ref="F7:G7"/>
    <mergeCell ref="F8:G8"/>
    <mergeCell ref="F2:G3"/>
    <mergeCell ref="H2:H3"/>
    <mergeCell ref="I2:I3"/>
    <mergeCell ref="F4:G4"/>
    <mergeCell ref="F5:G5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I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worker</dc:creator>
  <cp:keywords/>
  <dc:description/>
  <cp:lastModifiedBy>Юлия</cp:lastModifiedBy>
  <cp:lastPrinted>2012-04-13T15:05:25Z</cp:lastPrinted>
  <dcterms:created xsi:type="dcterms:W3CDTF">2008-08-27T14:16:27Z</dcterms:created>
  <dcterms:modified xsi:type="dcterms:W3CDTF">2018-09-01T13:58:10Z</dcterms:modified>
  <cp:category/>
  <cp:version/>
  <cp:contentType/>
  <cp:contentStatus/>
</cp:coreProperties>
</file>